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0410" windowHeight="5790" activeTab="2"/>
  </bookViews>
  <sheets>
    <sheet name="input data" sheetId="1" r:id="rId1"/>
    <sheet name="Obracun indikatora uspjesnosti" sheetId="2" r:id="rId2"/>
    <sheet name="progress report" sheetId="4" r:id="rId3"/>
  </sheets>
  <definedNames>
    <definedName name="_xlnm._FilterDatabase" localSheetId="2" hidden="1">'progress report'!$E$25:$E$29</definedName>
    <definedName name="_xlnm.Print_Area" localSheetId="1">'Obracun indikatora uspjesnosti'!$C$1:$M$67</definedName>
    <definedName name="_xlnm.Print_Area" localSheetId="2">'progress report'!$A$1:$EX$22</definedName>
    <definedName name="_xlnm.Print_Titles" localSheetId="0">'input data'!$1:$2</definedName>
  </definedNames>
  <calcPr calcId="124519" calcOnSave="0"/>
</workbook>
</file>

<file path=xl/calcChain.xml><?xml version="1.0" encoding="utf-8"?>
<calcChain xmlns="http://schemas.openxmlformats.org/spreadsheetml/2006/main">
  <c r="T1" i="1"/>
  <c r="L65" i="2"/>
  <c r="K65"/>
  <c r="L76" i="1" l="1"/>
  <c r="H76"/>
  <c r="M54"/>
  <c r="K54"/>
  <c r="J54"/>
  <c r="I54"/>
  <c r="G54"/>
  <c r="F54"/>
  <c r="E54"/>
  <c r="L78" l="1"/>
  <c r="J65" i="2" s="1"/>
  <c r="H78" i="1"/>
  <c r="U78" s="1"/>
  <c r="M56"/>
  <c r="K56"/>
  <c r="J56"/>
  <c r="I56"/>
  <c r="E56"/>
  <c r="I65" i="2" l="1"/>
  <c r="M16" i="1"/>
  <c r="K16"/>
  <c r="J16"/>
  <c r="U44"/>
  <c r="G56" l="1"/>
  <c r="F56"/>
  <c r="W34" l="1"/>
  <c r="U34" s="1"/>
  <c r="V26"/>
  <c r="F20"/>
  <c r="G20"/>
  <c r="E20"/>
  <c r="I20"/>
  <c r="U48"/>
  <c r="V30"/>
  <c r="U32"/>
  <c r="F16"/>
  <c r="E16"/>
  <c r="I16"/>
  <c r="G16"/>
  <c r="U14"/>
  <c r="U26" s="1"/>
  <c r="U30" l="1"/>
  <c r="U28"/>
  <c r="ER5" i="4"/>
  <c r="EO5"/>
  <c r="EG19"/>
  <c r="ED19"/>
  <c r="EG17"/>
  <c r="ED17"/>
  <c r="EG15"/>
  <c r="ED15"/>
  <c r="EG13"/>
  <c r="ED13"/>
  <c r="EG11"/>
  <c r="ED11"/>
  <c r="EG9"/>
  <c r="ED9"/>
  <c r="EG7"/>
  <c r="ED7"/>
  <c r="EG5"/>
  <c r="ED5"/>
  <c r="DV19"/>
  <c r="DS19"/>
  <c r="DV17"/>
  <c r="DS17"/>
  <c r="DV15"/>
  <c r="DS15"/>
  <c r="DV13"/>
  <c r="DS13"/>
  <c r="DV11"/>
  <c r="DS11"/>
  <c r="DV9"/>
  <c r="DS9"/>
  <c r="DV7"/>
  <c r="DS7"/>
  <c r="DV5"/>
  <c r="DS5"/>
  <c r="DK19"/>
  <c r="DH19"/>
  <c r="DK17"/>
  <c r="DH17"/>
  <c r="DK15"/>
  <c r="DH15"/>
  <c r="DK13"/>
  <c r="DH13"/>
  <c r="DK11"/>
  <c r="DH11"/>
  <c r="DK9"/>
  <c r="DH9"/>
  <c r="DK7"/>
  <c r="DH7"/>
  <c r="DK5"/>
  <c r="DH5"/>
  <c r="CZ19"/>
  <c r="CW19"/>
  <c r="CZ17"/>
  <c r="CW17"/>
  <c r="CZ15"/>
  <c r="CW15"/>
  <c r="CZ13"/>
  <c r="CW13"/>
  <c r="CZ11"/>
  <c r="CW11"/>
  <c r="CZ9"/>
  <c r="CW9"/>
  <c r="CW7"/>
  <c r="CW5"/>
  <c r="T80" i="1"/>
  <c r="L67" i="2" s="1"/>
  <c r="AO6" i="4" s="1"/>
  <c r="P80" i="1"/>
  <c r="K67" i="2" s="1"/>
  <c r="AN6" i="4" s="1"/>
  <c r="L80" i="1"/>
  <c r="J67" i="2" s="1"/>
  <c r="AM6" i="4" s="1"/>
  <c r="H80" i="1"/>
  <c r="I67" i="2" s="1"/>
  <c r="AL6" i="4" s="1"/>
  <c r="T74" i="1"/>
  <c r="L61" i="2" s="1"/>
  <c r="AD19" i="4" s="1"/>
  <c r="P74" i="1"/>
  <c r="K63" i="2" s="1"/>
  <c r="AC20" i="4" s="1"/>
  <c r="L74" i="1"/>
  <c r="J63" i="2" s="1"/>
  <c r="AB20" i="4" s="1"/>
  <c r="H74" i="1"/>
  <c r="T72"/>
  <c r="P72"/>
  <c r="L72"/>
  <c r="H72"/>
  <c r="T70"/>
  <c r="P70"/>
  <c r="L70"/>
  <c r="H70"/>
  <c r="T68"/>
  <c r="P68"/>
  <c r="L68"/>
  <c r="H68"/>
  <c r="T56"/>
  <c r="P56"/>
  <c r="L56"/>
  <c r="H56"/>
  <c r="T54"/>
  <c r="P54"/>
  <c r="K45" i="2" s="1"/>
  <c r="AC11" i="4" s="1"/>
  <c r="L54" i="1"/>
  <c r="H54"/>
  <c r="U22"/>
  <c r="T20"/>
  <c r="P20"/>
  <c r="L20"/>
  <c r="H20"/>
  <c r="T18"/>
  <c r="P18"/>
  <c r="L18"/>
  <c r="J11" i="2" s="1"/>
  <c r="H18" i="1"/>
  <c r="T16"/>
  <c r="P16"/>
  <c r="L16"/>
  <c r="H16"/>
  <c r="H12"/>
  <c r="I7" i="2" s="1"/>
  <c r="T12" i="1"/>
  <c r="P12"/>
  <c r="L12"/>
  <c r="AK6" i="4"/>
  <c r="Z21"/>
  <c r="Z20"/>
  <c r="Z19"/>
  <c r="Z18"/>
  <c r="Z17"/>
  <c r="Z16"/>
  <c r="Z15"/>
  <c r="Z14"/>
  <c r="Z13"/>
  <c r="Z12"/>
  <c r="Z11"/>
  <c r="Z10"/>
  <c r="Z9"/>
  <c r="Z8"/>
  <c r="Z7"/>
  <c r="Z6"/>
  <c r="O21"/>
  <c r="O20"/>
  <c r="O19"/>
  <c r="O18"/>
  <c r="O17"/>
  <c r="O16"/>
  <c r="O15"/>
  <c r="O14"/>
  <c r="O13"/>
  <c r="O12"/>
  <c r="O11"/>
  <c r="O10"/>
  <c r="O9"/>
  <c r="AI6"/>
  <c r="X21"/>
  <c r="X20"/>
  <c r="X19"/>
  <c r="X18"/>
  <c r="X17"/>
  <c r="X16"/>
  <c r="X15"/>
  <c r="X14"/>
  <c r="X13"/>
  <c r="X12"/>
  <c r="X11"/>
  <c r="X10"/>
  <c r="X9"/>
  <c r="X8"/>
  <c r="X7"/>
  <c r="X6"/>
  <c r="M21"/>
  <c r="M20"/>
  <c r="M19"/>
  <c r="M18"/>
  <c r="M17"/>
  <c r="M16"/>
  <c r="M15"/>
  <c r="M14"/>
  <c r="M13"/>
  <c r="M12"/>
  <c r="M11"/>
  <c r="M10"/>
  <c r="M9"/>
  <c r="A6" i="1"/>
  <c r="A8" s="1"/>
  <c r="A10" s="1"/>
  <c r="A12" s="1"/>
  <c r="A14" s="1"/>
  <c r="A16" s="1"/>
  <c r="A18" s="1"/>
  <c r="A20" s="1"/>
  <c r="A22" s="1"/>
  <c r="A24" s="1"/>
  <c r="A26" s="1"/>
  <c r="A28" s="1"/>
  <c r="A30" s="1"/>
  <c r="A32" s="1"/>
  <c r="A34" s="1"/>
  <c r="A36" s="1"/>
  <c r="A38" s="1"/>
  <c r="A40" s="1"/>
  <c r="A42" s="1"/>
  <c r="A44" s="1"/>
  <c r="A46" s="1"/>
  <c r="A48" s="1"/>
  <c r="A50" s="1"/>
  <c r="A52" s="1"/>
  <c r="A54" s="1"/>
  <c r="A56" s="1"/>
  <c r="A58" s="1"/>
  <c r="A60" s="1"/>
  <c r="A62" s="1"/>
  <c r="A64" s="1"/>
  <c r="A66" s="1"/>
  <c r="A68" s="1"/>
  <c r="A70" s="1"/>
  <c r="A72" s="1"/>
  <c r="A74" s="1"/>
  <c r="A76" s="1"/>
  <c r="A78" s="1"/>
  <c r="A80" s="1"/>
  <c r="AD21" i="4"/>
  <c r="AC21"/>
  <c r="AB21"/>
  <c r="AA21"/>
  <c r="L63" i="2"/>
  <c r="AD20" i="4" s="1"/>
  <c r="K61" i="2"/>
  <c r="AC19" i="4" s="1"/>
  <c r="C5" i="2"/>
  <c r="C7" s="1"/>
  <c r="C9" s="1"/>
  <c r="C11" s="1"/>
  <c r="C13" s="1"/>
  <c r="C15" s="1"/>
  <c r="C17" s="1"/>
  <c r="C19" s="1"/>
  <c r="C21" s="1"/>
  <c r="C23" s="1"/>
  <c r="C25" s="1"/>
  <c r="C27" s="1"/>
  <c r="C29" s="1"/>
  <c r="C31" s="1"/>
  <c r="C33" s="1"/>
  <c r="C35" s="1"/>
  <c r="C37" s="1"/>
  <c r="C39" s="1"/>
  <c r="C41" s="1"/>
  <c r="C43" s="1"/>
  <c r="C45" s="1"/>
  <c r="C47" s="1"/>
  <c r="C49" s="1"/>
  <c r="C51" s="1"/>
  <c r="C53" s="1"/>
  <c r="C55" s="1"/>
  <c r="C57" s="1"/>
  <c r="C59" s="1"/>
  <c r="C61" s="1"/>
  <c r="C63" s="1"/>
  <c r="C65" s="1"/>
  <c r="C67" s="1"/>
  <c r="M55"/>
  <c r="AE16" i="4" s="1"/>
  <c r="M53" i="2"/>
  <c r="AE15" i="4" s="1"/>
  <c r="M51" i="2"/>
  <c r="AE14" i="4" s="1"/>
  <c r="M47" i="2"/>
  <c r="AE12" i="4" s="1"/>
  <c r="M43" i="2"/>
  <c r="AE10" i="4" s="1"/>
  <c r="M41" i="2"/>
  <c r="AE9" i="4" s="1"/>
  <c r="M39" i="2"/>
  <c r="AE8" i="4" s="1"/>
  <c r="M37" i="2"/>
  <c r="AE7" i="4" s="1"/>
  <c r="M35" i="2"/>
  <c r="AE6" i="4" s="1"/>
  <c r="M33" i="2"/>
  <c r="T21" i="4" s="1"/>
  <c r="M31" i="2"/>
  <c r="T20" i="4" s="1"/>
  <c r="M29" i="2"/>
  <c r="T19" i="4" s="1"/>
  <c r="M27" i="2"/>
  <c r="T18" i="4" s="1"/>
  <c r="M21" i="2"/>
  <c r="T15" i="4" s="1"/>
  <c r="L17" i="2"/>
  <c r="S13" i="4" s="1"/>
  <c r="L7" i="2"/>
  <c r="S8" i="4" s="1"/>
  <c r="M5" i="2"/>
  <c r="T7" i="4" s="1"/>
  <c r="M3" i="2"/>
  <c r="T6" i="4" s="1"/>
  <c r="U76" i="1"/>
  <c r="CV7" i="4"/>
  <c r="CV9"/>
  <c r="CV11" s="1"/>
  <c r="CV13" s="1"/>
  <c r="CV15" s="1"/>
  <c r="CV17" s="1"/>
  <c r="CV19" s="1"/>
  <c r="DG5" s="1"/>
  <c r="DG7" s="1"/>
  <c r="DG9" s="1"/>
  <c r="DG11" s="1"/>
  <c r="DG13" s="1"/>
  <c r="DG15" s="1"/>
  <c r="DG17" s="1"/>
  <c r="DG19" s="1"/>
  <c r="DR5" s="1"/>
  <c r="DR7" s="1"/>
  <c r="DR9" s="1"/>
  <c r="DR11" s="1"/>
  <c r="DR13" s="1"/>
  <c r="DR15" s="1"/>
  <c r="DR17" s="1"/>
  <c r="DR19" s="1"/>
  <c r="EC5" s="1"/>
  <c r="EC7" s="1"/>
  <c r="EC9" s="1"/>
  <c r="EC11" s="1"/>
  <c r="EC13" s="1"/>
  <c r="EC15" s="1"/>
  <c r="EC17" s="1"/>
  <c r="EC19" s="1"/>
  <c r="EN5" s="1"/>
  <c r="EN7" s="1"/>
  <c r="EN9" s="1"/>
  <c r="EN11" s="1"/>
  <c r="EN13" s="1"/>
  <c r="EN15" s="1"/>
  <c r="EN17" s="1"/>
  <c r="EN19" s="1"/>
  <c r="DK4"/>
  <c r="EG4"/>
  <c r="ER4"/>
  <c r="DH4"/>
  <c r="ED4"/>
  <c r="EO4" s="1"/>
  <c r="L4"/>
  <c r="AS4" s="1"/>
  <c r="CV2"/>
  <c r="DG2"/>
  <c r="DR2" s="1"/>
  <c r="EC2" s="1"/>
  <c r="EN2" s="1"/>
  <c r="CZ7"/>
  <c r="O7"/>
  <c r="M7"/>
  <c r="O8"/>
  <c r="M8"/>
  <c r="BD3"/>
  <c r="BO3"/>
  <c r="BZ3" s="1"/>
  <c r="CK3" s="1"/>
  <c r="BE4"/>
  <c r="BP4" s="1"/>
  <c r="CA4" s="1"/>
  <c r="CL4" s="1"/>
  <c r="BF4"/>
  <c r="BQ4"/>
  <c r="CB4" s="1"/>
  <c r="CM4" s="1"/>
  <c r="BI4"/>
  <c r="BT4" s="1"/>
  <c r="CE4" s="1"/>
  <c r="CP4" s="1"/>
  <c r="AS2"/>
  <c r="BD2" s="1"/>
  <c r="BO2" s="1"/>
  <c r="BZ2" s="1"/>
  <c r="CK2" s="1"/>
  <c r="AO5"/>
  <c r="AN5"/>
  <c r="AM5"/>
  <c r="AL5"/>
  <c r="L2"/>
  <c r="W2" s="1"/>
  <c r="AH2" s="1"/>
  <c r="AH3"/>
  <c r="CZ5"/>
  <c r="AD5"/>
  <c r="AC5"/>
  <c r="AB5"/>
  <c r="AA5"/>
  <c r="O6"/>
  <c r="M6"/>
  <c r="P4"/>
  <c r="AA4" s="1"/>
  <c r="L2" i="2"/>
  <c r="K2"/>
  <c r="J2"/>
  <c r="I2"/>
  <c r="O4" i="4"/>
  <c r="S5"/>
  <c r="R5"/>
  <c r="Q5"/>
  <c r="P5"/>
  <c r="AS8"/>
  <c r="AS10" s="1"/>
  <c r="AS12" s="1"/>
  <c r="AS14" s="1"/>
  <c r="AS16" s="1"/>
  <c r="AS18" s="1"/>
  <c r="AS20" s="1"/>
  <c r="BD6" s="1"/>
  <c r="BD8" s="1"/>
  <c r="BD10" s="1"/>
  <c r="BD12" s="1"/>
  <c r="BD14" s="1"/>
  <c r="BD16" s="1"/>
  <c r="BD18" s="1"/>
  <c r="BD20" s="1"/>
  <c r="BO6" s="1"/>
  <c r="BO8" s="1"/>
  <c r="BO10" s="1"/>
  <c r="BO12" s="1"/>
  <c r="BO14" s="1"/>
  <c r="BO16" s="1"/>
  <c r="BO18" s="1"/>
  <c r="BO20" s="1"/>
  <c r="BZ6" s="1"/>
  <c r="BZ8" s="1"/>
  <c r="BZ10" s="1"/>
  <c r="BZ12" s="1"/>
  <c r="BZ14" s="1"/>
  <c r="BZ16" s="1"/>
  <c r="BZ18" s="1"/>
  <c r="BZ20" s="1"/>
  <c r="CK6" s="1"/>
  <c r="CK8" s="1"/>
  <c r="CK10" s="1"/>
  <c r="CK12" s="1"/>
  <c r="CK14" s="1"/>
  <c r="CK16" s="1"/>
  <c r="CK18" s="1"/>
  <c r="CK20" s="1"/>
  <c r="L7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W6" s="1"/>
  <c r="W7" s="1"/>
  <c r="W8" s="1"/>
  <c r="W9" s="1"/>
  <c r="W10" s="1"/>
  <c r="W11" s="1"/>
  <c r="W12" s="1"/>
  <c r="W13" s="1"/>
  <c r="W14" s="1"/>
  <c r="W15" s="1"/>
  <c r="W16" s="1"/>
  <c r="W17" s="1"/>
  <c r="W18" s="1"/>
  <c r="W19" s="1"/>
  <c r="W20" s="1"/>
  <c r="W21" s="1"/>
  <c r="AH6" s="1"/>
  <c r="AH7" s="1"/>
  <c r="AH8" s="1"/>
  <c r="AH9" s="1"/>
  <c r="AH10" s="1"/>
  <c r="AH11" s="1"/>
  <c r="AH12" s="1"/>
  <c r="AH13" s="1"/>
  <c r="AH14" s="1"/>
  <c r="AH15" s="1"/>
  <c r="AH16" s="1"/>
  <c r="AH17" s="1"/>
  <c r="AH18" s="1"/>
  <c r="AH19" s="1"/>
  <c r="AH20" s="1"/>
  <c r="AH21" s="1"/>
  <c r="BZ4"/>
  <c r="W4"/>
  <c r="BD4" s="1"/>
  <c r="L45" i="2" l="1"/>
  <c r="AD11" i="4" s="1"/>
  <c r="L13" i="2"/>
  <c r="S11" i="4" s="1"/>
  <c r="J7" i="2"/>
  <c r="Q8" i="4" s="1"/>
  <c r="L59" i="2"/>
  <c r="AD18" i="4" s="1"/>
  <c r="L19" i="2"/>
  <c r="S14" i="4" s="1"/>
  <c r="K17" i="2"/>
  <c r="R13" i="4" s="1"/>
  <c r="M65" i="2"/>
  <c r="AE21" i="4" s="1"/>
  <c r="J61" i="2"/>
  <c r="AB19" i="4" s="1"/>
  <c r="K13" i="2"/>
  <c r="R11" i="4" s="1"/>
  <c r="K15" i="2"/>
  <c r="R12" i="4" s="1"/>
  <c r="K11" i="2"/>
  <c r="R10" i="4" s="1"/>
  <c r="K19" i="2"/>
  <c r="R14" i="4" s="1"/>
  <c r="K7" i="2"/>
  <c r="R8" i="4" s="1"/>
  <c r="K59" i="2"/>
  <c r="AC18" i="4" s="1"/>
  <c r="L11" i="2"/>
  <c r="S10" i="4" s="1"/>
  <c r="L15" i="2"/>
  <c r="S12" i="4" s="1"/>
  <c r="J17" i="2"/>
  <c r="Q13" i="4" s="1"/>
  <c r="J13" i="2"/>
  <c r="Q11" i="4" s="1"/>
  <c r="J59" i="2"/>
  <c r="AB18" i="4" s="1"/>
  <c r="J45" i="2"/>
  <c r="AB11" i="4" s="1"/>
  <c r="U54" i="1"/>
  <c r="M49" i="2" s="1"/>
  <c r="AE13" i="4" s="1"/>
  <c r="I13" i="2"/>
  <c r="P11" i="4" s="1"/>
  <c r="L9" i="2"/>
  <c r="S9" i="4" s="1"/>
  <c r="U72" i="1"/>
  <c r="I11" i="2"/>
  <c r="P10" i="4" s="1"/>
  <c r="K9" i="2"/>
  <c r="R9" i="4" s="1"/>
  <c r="U68" i="1"/>
  <c r="M57" i="2" s="1"/>
  <c r="AE17" i="4" s="1"/>
  <c r="U70" i="1"/>
  <c r="J19" i="2"/>
  <c r="Q14" i="4" s="1"/>
  <c r="U80" i="1"/>
  <c r="M67" i="2" s="1"/>
  <c r="AP6" i="4" s="1"/>
  <c r="U16" i="1"/>
  <c r="Q10" i="4"/>
  <c r="J15" i="2"/>
  <c r="Q12" i="4" s="1"/>
  <c r="J9" i="2"/>
  <c r="Q9" i="4" s="1"/>
  <c r="AL4"/>
  <c r="U56" i="1"/>
  <c r="U74"/>
  <c r="M61" i="2" s="1"/>
  <c r="AE19" i="4" s="1"/>
  <c r="CK4"/>
  <c r="CV4"/>
  <c r="DG4" s="1"/>
  <c r="DR4" s="1"/>
  <c r="EC4" s="1"/>
  <c r="EN4" s="1"/>
  <c r="AH4"/>
  <c r="BO4" s="1"/>
  <c r="I61" i="2"/>
  <c r="AA19" i="4" s="1"/>
  <c r="I63" i="2"/>
  <c r="AA20" i="4" s="1"/>
  <c r="I59" i="2"/>
  <c r="AA18" i="4" s="1"/>
  <c r="I45" i="2"/>
  <c r="AA11" i="4" s="1"/>
  <c r="U20" i="1"/>
  <c r="M13" i="2" s="1"/>
  <c r="T11" i="4" s="1"/>
  <c r="U18" i="1"/>
  <c r="M25" i="2" s="1"/>
  <c r="T17" i="4" s="1"/>
  <c r="I9" i="2"/>
  <c r="P9" i="4" s="1"/>
  <c r="U12" i="1"/>
  <c r="P8" i="4"/>
  <c r="I15" i="2"/>
  <c r="P12" i="4" s="1"/>
  <c r="I17" i="2"/>
  <c r="P13" i="4" s="1"/>
  <c r="I19" i="2"/>
  <c r="P14" i="4" s="1"/>
  <c r="M63" i="2" l="1"/>
  <c r="AE20" i="4" s="1"/>
  <c r="M45" i="2"/>
  <c r="AE11" i="4" s="1"/>
  <c r="M59" i="2"/>
  <c r="AE18" i="4" s="1"/>
  <c r="M11" i="2"/>
  <c r="T10" i="4" s="1"/>
  <c r="M23" i="2"/>
  <c r="T16" i="4" s="1"/>
  <c r="M15" i="2"/>
  <c r="T12" i="4" s="1"/>
  <c r="M19" i="2"/>
  <c r="T14" i="4" s="1"/>
  <c r="M9" i="2"/>
  <c r="T9" i="4" s="1"/>
  <c r="M17" i="2"/>
  <c r="T13" i="4" s="1"/>
  <c r="M7" i="2"/>
  <c r="T8" i="4" s="1"/>
</calcChain>
</file>

<file path=xl/sharedStrings.xml><?xml version="1.0" encoding="utf-8"?>
<sst xmlns="http://schemas.openxmlformats.org/spreadsheetml/2006/main" count="383" uniqueCount="273">
  <si>
    <t>Name</t>
  </si>
  <si>
    <t>%</t>
  </si>
  <si>
    <t>No.</t>
  </si>
  <si>
    <t>Environmental</t>
  </si>
  <si>
    <t>Commercial</t>
  </si>
  <si>
    <t>HR</t>
  </si>
  <si>
    <t>O&amp;M</t>
  </si>
  <si>
    <t>Financial</t>
  </si>
  <si>
    <t>Definition</t>
  </si>
  <si>
    <t>I</t>
  </si>
  <si>
    <t>II</t>
  </si>
  <si>
    <t>III</t>
  </si>
  <si>
    <t>IV</t>
  </si>
  <si>
    <t>[Figures automatically calculated]</t>
  </si>
  <si>
    <t>M3</t>
  </si>
  <si>
    <t>EUR/m3</t>
  </si>
  <si>
    <t>Kw</t>
  </si>
  <si>
    <t>KW/m3</t>
  </si>
  <si>
    <t>Director</t>
  </si>
  <si>
    <t>Naziv</t>
  </si>
  <si>
    <t>Godišnji rezultat</t>
  </si>
  <si>
    <t>Definicija/opis</t>
  </si>
  <si>
    <t xml:space="preserve">Ukupna potrošnja energije za vodu po proizvedenom m3 </t>
  </si>
  <si>
    <t>Ukupna godišnja izmjerena prodata voda izražena brojem stanovnika koje je usluženo po danu</t>
  </si>
  <si>
    <t>Zapremina "gubitaka vode" po priključku</t>
  </si>
  <si>
    <t>Zapremina "gubitaka" po km distributivne mreže</t>
  </si>
  <si>
    <t>Ukupni godišnji operativni troškovi za vodu (isključujući amortizaciju, kamate i kredite)/ Ukupna godišnja zapremina prodate vode</t>
  </si>
  <si>
    <t>Ukupni godišnji operativni troškovi za otpadne vode (isključujući amortizaciju, kamate i kredite)/ Ukupna godišnja prodata zapremina</t>
  </si>
  <si>
    <t>Ukupni godišnji troškovi rada (uključujući beneficije) izraženi u procentu ukupnih godišnjih operativnih troškova(isključujući amortizaciju, kamate i kredite) za otpadne vode</t>
  </si>
  <si>
    <t>Ukupni godišnji operativni prihodi za ustanove izraženi brojem priključaka</t>
  </si>
  <si>
    <t>Ukupni godišnji operativni prihodi / ukupni godišnji operativni troškovi, izraženi procentom</t>
  </si>
  <si>
    <t>ukupne godišnje subvencije / ukupni godišnji operativni troškovi, izraženi procentom</t>
  </si>
  <si>
    <t>Pokazuje broj testiranja kvaliteta vode koji ispunjavaju zakonske standarde u odnosu na broj sprovedenih testiranja</t>
  </si>
  <si>
    <t>Naziv pokazatelja</t>
  </si>
  <si>
    <t>jedinica</t>
  </si>
  <si>
    <t>Naziv pokazatelja
Performance Indicator</t>
  </si>
  <si>
    <t>godišnji rezultat</t>
  </si>
  <si>
    <t>Definicija</t>
  </si>
  <si>
    <t>Cifre se automatski izračunavaju</t>
  </si>
  <si>
    <t>[Napisati rukopisom napomene]</t>
  </si>
  <si>
    <t>Neuobičajena odstupanja
deviation ?</t>
  </si>
  <si>
    <t>Razlozi za devijaciju</t>
  </si>
  <si>
    <t>Prijedlog korektivnih mjera</t>
  </si>
  <si>
    <t>KM</t>
  </si>
  <si>
    <t>km</t>
  </si>
  <si>
    <t>Stanovništvo koje ima pristup uslugama odvođenja otpadnih voda  kao procenat ukupnog broja stanovnika koje je pod odgovornošću općine</t>
  </si>
  <si>
    <t xml:space="preserve">Prosječna mjesečna količina vode koja se crpi u distributivni sistem (uključujući i kupljenu vodu, ako je ima) izražena brojem stanovnika koje jeusluženo po danu </t>
  </si>
  <si>
    <t>Ukupna godišnja zapremina prodate vode u odnosu na broj stanovnika koje je usluženo po danu</t>
  </si>
  <si>
    <t>Stanovništvo koje ima pristup uslugama  (bilo putem direktnog priključenja ili putem javne česme)  kao postotak ukupnog broja stanovnika koje je pod odgovornošću općine</t>
  </si>
  <si>
    <t>Razlika između crpljene i prodate vode  (odnosno zapremina "gubitaka") izražena postotkom  crpljene vode</t>
  </si>
  <si>
    <t>Ukupan broj priključaka sa operativnim vodomjerom / ukupan broj priključaka, izražen postotkom</t>
  </si>
  <si>
    <t>Ukupni godišnji troškovi rada (uključujući beneficije) izraženi u postotku  ukupnih godišnjih operativnih troškova(isključujući amortizaciju, kamate i kredite) za vodu</t>
  </si>
  <si>
    <t xml:space="preserve">Godišnji troškovi energije izraženi postotkom ukupnih godišnjih operativnih troškova (isključujući amortizaciju, kredite i kamate) za vodu </t>
  </si>
  <si>
    <t>Godišnji troškovi energije izraženi postotkom ukupnih godišnjih operativnih troškova (isključujući amortizaciju, kredite i kamate) za otpadne vode</t>
  </si>
  <si>
    <t>Ukupni ostali troškovi izraženi postotkom ukupnih godišnjih operativnih troškova (isključujući amortizaciju, kamatu i kredit) za vodu</t>
  </si>
  <si>
    <t>Ukupni ostali troškovi izraženi postotkom ukupnih godišnjih operativnih troškova (isključujući amortizaciju, kamatu i kredit) za otpadne vode</t>
  </si>
  <si>
    <t>Ukupni godišnji operativni prihodi izražen u odnosu na broj priključaka</t>
  </si>
  <si>
    <t>Ukupni godišnji operativni prihodi za privatna poduzeća prema broju priključaka</t>
  </si>
  <si>
    <t xml:space="preserve">Ukupna naplata / ukupno fakturiranje </t>
  </si>
  <si>
    <t>ukupna godišnja naplata / ukupni godišnji operativni troškovi</t>
  </si>
  <si>
    <t>Ukupan broj zaposlenika na 1000 priključaka</t>
  </si>
  <si>
    <t>Ukupni godišnji sati obuke  po zaposljenom</t>
  </si>
  <si>
    <t>Ukupan broj žalbi na godišnjoj razini izražen odnosom na svakih 1000 priključaka</t>
  </si>
  <si>
    <t>Ukupan broj kvarova na godišnjoj razini izražen po km distributivne mreže</t>
  </si>
  <si>
    <t>Ukupan broj kvarova na godišnjoj razini izražen brojem priključaka</t>
  </si>
  <si>
    <t>Ukupna naplata u određenom periodu izvještavanja / Ukupno fakturiranje u istom periodu izvještavanja, izraženo postotkom</t>
  </si>
  <si>
    <t>Ukupan broj prekida u vodoopskrbi koje traju duže od 5 min / 1,000 priključaka</t>
  </si>
  <si>
    <t>Komunalno Čapljina</t>
  </si>
  <si>
    <t>Marijo Čolić</t>
  </si>
  <si>
    <t>troškovi ViK</t>
  </si>
  <si>
    <t>Plate svih zaposl</t>
  </si>
  <si>
    <t>Dio Vik</t>
  </si>
  <si>
    <t>dodati amortizaciju</t>
  </si>
  <si>
    <t>Kućanstva</t>
  </si>
  <si>
    <t>Zajedničke zgrade</t>
  </si>
  <si>
    <t>pravne osobe</t>
  </si>
  <si>
    <t>bila oko 500,000 u 2012</t>
  </si>
  <si>
    <t>Total population in the Municiaplity</t>
  </si>
  <si>
    <t>Total population under responsibility of the
Municipality for water, irrespective of whether
they receive a service or not</t>
  </si>
  <si>
    <t>Total population under responsibility of the
Municipality for wastewater, irrespective of
whether they receive a service or not</t>
  </si>
  <si>
    <t>Population served with water</t>
  </si>
  <si>
    <t>Total population under the
Municipalities' responsibility for
wastewater</t>
  </si>
  <si>
    <t>Population served with wastewater</t>
  </si>
  <si>
    <t>Total water input from all sources</t>
  </si>
  <si>
    <t>Total no of registered connections</t>
  </si>
  <si>
    <t>Total energy consumption</t>
  </si>
  <si>
    <t>Total volume of water sold</t>
  </si>
  <si>
    <t>Total metered volume of water sold</t>
  </si>
  <si>
    <t>Population served with metered
water connections</t>
  </si>
  <si>
    <t>Total length of transmission and
distribution network</t>
  </si>
  <si>
    <t>Total no of registered connections
with operating meter</t>
  </si>
  <si>
    <t>Annual direct costs for water
operations</t>
  </si>
  <si>
    <t>Annual direct costs for wastewater
operations</t>
  </si>
  <si>
    <t>Annual labour costs for water
operations</t>
  </si>
  <si>
    <t>Annual labour costs for wastewater
operations</t>
  </si>
  <si>
    <t>Annual energy costs for water
operations</t>
  </si>
  <si>
    <t>Annual energy costs for wastewater
operations</t>
  </si>
  <si>
    <t>Annual other costs for water
operations</t>
  </si>
  <si>
    <t>Annual other costs for wastewater
operations</t>
  </si>
  <si>
    <t>Total annual water operating
revenues</t>
  </si>
  <si>
    <t>Total no of registered private
company connections</t>
  </si>
  <si>
    <t>Total annual water operating
revenues from private company
connections</t>
  </si>
  <si>
    <t>Total no of registered institutional
connections</t>
  </si>
  <si>
    <t>Total annual water operating
revenues from institutuional
connections</t>
  </si>
  <si>
    <t>Amount collected</t>
  </si>
  <si>
    <t>Amount billed</t>
  </si>
  <si>
    <t>Total annual subsidies</t>
  </si>
  <si>
    <t>Total no of staff</t>
  </si>
  <si>
    <t>Total number of staff training hours
per year</t>
  </si>
  <si>
    <t>Total no of hours of daily pressured
supply for all water supply zones</t>
  </si>
  <si>
    <t>No of customer complaints per year</t>
  </si>
  <si>
    <t>No of samples tested</t>
  </si>
  <si>
    <t>No of tested samples in compliance</t>
  </si>
  <si>
    <t>No of pipe breaks per month</t>
  </si>
  <si>
    <t>Amount collected related to the
reporting period</t>
  </si>
  <si>
    <t>Amount billed related to the reporting
period</t>
  </si>
  <si>
    <t>No of interruptions per month</t>
  </si>
  <si>
    <t>Total annual volume of pumped water in the
water supply area</t>
  </si>
  <si>
    <t>All electrical energy consumption for water
operations</t>
  </si>
  <si>
    <t>Total volume of water billed (metered!!)
irrespective of whether the bill is paid or not.</t>
  </si>
  <si>
    <t>Total length of transmission and distribution
network excluding service pipes</t>
  </si>
  <si>
    <t>All electrical energy costs for water operations</t>
  </si>
  <si>
    <t>All electrical energy costs for wastewater
operations</t>
  </si>
  <si>
    <t>No. of active private company connections at
year end. Inactive connections should be
discounted</t>
  </si>
  <si>
    <t>Total annual water operating revenues from
private company connections</t>
  </si>
  <si>
    <t>Total annual water operating revenues from
institutuional connections</t>
  </si>
  <si>
    <t>Income actually received for water services</t>
  </si>
  <si>
    <t>Total number of staff working at the utility full time</t>
  </si>
  <si>
    <t>Total number of permanent staff working at the utility</t>
  </si>
  <si>
    <t>Total number of staff training hours that have
been provided during the year.</t>
  </si>
  <si>
    <t>Total number of customer complaints during the year – made by letter, telephone, in person, or other means.</t>
  </si>
  <si>
    <t>The number of samples of potable water taken
from the distribution system that have been
tested and comply with the standard</t>
  </si>
  <si>
    <t>Total no of water pipe breaks in the distribution
network during the month. Failures that require
repair of mains, connection valves and fittings
that are the utilities responsibility are included.</t>
  </si>
  <si>
    <t>Income actually received for water services only
related to the reporting period</t>
  </si>
  <si>
    <t>Total no of interruptions in water supply during
the month. Interruptions longer than 5 minutes
and are the responsability of the utility (no house installations!)</t>
  </si>
  <si>
    <t>Total billings for water supply services including fixed and volumetric charges only related to the reporting period</t>
  </si>
  <si>
    <t>The number of samples of potable water actually taken from the distribution system that have been tested</t>
  </si>
  <si>
    <t>Total number of hours of daily pressured supply for all water supply zones – interruptions due to unplanned failures or rehabilitation work should be excluded</t>
  </si>
  <si>
    <t>Total subsidy payments received during the year. Include foreign and domestic grants, government and municipal transfers</t>
  </si>
  <si>
    <t>Total billings for water supply services (sewerage system is included, since it is not seperated)</t>
  </si>
  <si>
    <t>No. of active institutional connections at year end. (discount inactive connections)</t>
  </si>
  <si>
    <t>Total billing of water services, connection fees, reconnection fees and other operational revenues including subsidies but excluding all taxes</t>
  </si>
  <si>
    <t>All other costs excluding Personnel, Materials,
Energy, Operation and Maintenance, Purchased Water and Contracted Services costs for wastewater operations</t>
  </si>
  <si>
    <t>All other costs excluding Personnel, Materials,
Energy, Operation and Maintenance, Purchased Water and Contracted Services costs for water operations</t>
  </si>
  <si>
    <t>All costs for wastewater operations that are
labour related (salaries, wages, pensions, other benefits, etc)</t>
  </si>
  <si>
    <t>Total operational expenses for wastewater
operations excluding depreciation and financing charges</t>
  </si>
  <si>
    <t>Total operational expenses for water operations excluding depreciation and financing charges</t>
  </si>
  <si>
    <t>Total number of water connections with operating meter in function</t>
  </si>
  <si>
    <t>Total population under responsibility of the utility that are served with metered water connections</t>
  </si>
  <si>
    <t xml:space="preserve">Total volume of water billed (metered and
unmetered) irrespective of whether the bill is paid or not. Unmetered volume must be estimated. </t>
  </si>
  <si>
    <t>No. of active connections at year end. All active connections should be counted, but inactive connections to vacant buildings should be discounted</t>
  </si>
  <si>
    <t>Total population under responsibility of the utility with access to wastewater.</t>
  </si>
  <si>
    <t>Total population under responsibility of the utility with access to water through house connections, yard taps and public water points.</t>
  </si>
  <si>
    <t>Number</t>
  </si>
  <si>
    <t>Definition / Description</t>
  </si>
  <si>
    <t>Unit</t>
  </si>
  <si>
    <t>January</t>
  </si>
  <si>
    <t>February</t>
  </si>
  <si>
    <t>March</t>
  </si>
  <si>
    <t>April</t>
  </si>
  <si>
    <t>Quarterly
results</t>
  </si>
  <si>
    <t>May</t>
  </si>
  <si>
    <t>June</t>
  </si>
  <si>
    <t>July</t>
  </si>
  <si>
    <t>August</t>
  </si>
  <si>
    <t>October</t>
  </si>
  <si>
    <t>November</t>
  </si>
  <si>
    <t>December</t>
  </si>
  <si>
    <t>September</t>
  </si>
  <si>
    <t>Annual results</t>
  </si>
  <si>
    <t>Water Coverage (Ratio)</t>
  </si>
  <si>
    <t>Wastewater Coverage (Ratio)</t>
  </si>
  <si>
    <t>Water production (very rough estimation!!)</t>
  </si>
  <si>
    <t>Energy consumption</t>
  </si>
  <si>
    <t>Water Sales</t>
  </si>
  <si>
    <t>Metered water sales</t>
  </si>
  <si>
    <t>Non revenue water (very rough estimation!!!)</t>
  </si>
  <si>
    <t>Proportion of metered registered connections</t>
  </si>
  <si>
    <t>Unit operating cost per m3 sold for water operations</t>
  </si>
  <si>
    <t>Unit operating cost per m3 sold for wastewater operations</t>
  </si>
  <si>
    <t>Labour costs as a proportion of Direct Operating costs for water operations</t>
  </si>
  <si>
    <t>Labour costs as a proportion of Direct Operating costs for wastewater operations</t>
  </si>
  <si>
    <t>Energy costs as a proportion of Direct Operating costs for water operations</t>
  </si>
  <si>
    <t>Energy costs as a proportion of Direct Operating costs for wastewater operations</t>
  </si>
  <si>
    <t>Other costs as a proportion of Direct Operating costs for water operations</t>
  </si>
  <si>
    <t>Other costs as a proportion of Direct Operating costs for waste water operations</t>
  </si>
  <si>
    <t>Average Annual Water Tariff per connection</t>
  </si>
  <si>
    <t>Average Annual Water Tariff per private company connection</t>
  </si>
  <si>
    <t>Average Annual Water Tariff per institution connection</t>
  </si>
  <si>
    <t>Cumulative Collection rate</t>
  </si>
  <si>
    <t>Operating cost coverage from revenues</t>
  </si>
  <si>
    <t>Operating cost coverage from collections</t>
  </si>
  <si>
    <t>Operating cost coverage from subsidies</t>
  </si>
  <si>
    <t>Staffing level</t>
  </si>
  <si>
    <t>Staff training hours</t>
  </si>
  <si>
    <t>Water service complaints</t>
  </si>
  <si>
    <t>Quality of water</t>
  </si>
  <si>
    <t>Number of water pipe breaks per km</t>
  </si>
  <si>
    <t>Number of water pipe breaks per connections</t>
  </si>
  <si>
    <t>Current Collection Rate</t>
  </si>
  <si>
    <t>Water interruptions</t>
  </si>
  <si>
    <t>(Population served with water / Population under
municipalities responsibility for water) x 100</t>
  </si>
  <si>
    <t>(Total average monthly water input from all
sources / 365) / (Population served with water) / 1,000</t>
  </si>
  <si>
    <t>(Population served with wastewater disposal /
Population under municipalities responsibility for wastewater) x 100</t>
  </si>
  <si>
    <t>Total energy consumption / Total annual water
input from all sources</t>
  </si>
  <si>
    <t>((Total metered volume of water sold / 30) / Total metered population served with water) / 1,000</t>
  </si>
  <si>
    <t>((Total volume of water sold / 30) / Total population served with water) / 1,000</t>
  </si>
  <si>
    <t>((Monthly volume of water input - Monthly volume of water sold) ) / Total no of registered connections)</t>
  </si>
  <si>
    <t>((Monthly volume of water input - Monthly volume of water sold)) / Total length of transmission and distribution network)</t>
  </si>
  <si>
    <t xml:space="preserve">(Total no of registered connections with operating meter / Total no of registered connections) X 100  </t>
  </si>
  <si>
    <t>Annual Direct costs for water operations / Total annual volume of water sold</t>
  </si>
  <si>
    <t>Annual Direct costs for wastewater operations /Total annual volume of water sold</t>
  </si>
  <si>
    <t>(Annual labour costs for water operations / Annual direct costs for water operations) x 100</t>
  </si>
  <si>
    <t>(Annual labour costs for wastewater operations / Annual direct costs for wastewater operations) x 100</t>
  </si>
  <si>
    <t>(Annual energy costs for water operations / Annual direct costs for water operations) x 100</t>
  </si>
  <si>
    <t xml:space="preserve">(Annual energy costs for wastewater operations / Annual direct costs for wastewater operations) x100 </t>
  </si>
  <si>
    <t>(Annual other costs for water operations / Annual direct costs for water operations) x 100</t>
  </si>
  <si>
    <t>(Annual other costs for wastewater operations / Annual direct costs for wastewater operations) x 100</t>
  </si>
  <si>
    <t>Total annual water operating revenues / Total no of registered connections</t>
  </si>
  <si>
    <t>Total annual water operating revenues from private company connections / Total no. of registered private company connections</t>
  </si>
  <si>
    <t>Total annual water operating revenues from
institutional connections / Total no. of registered institutional connections</t>
  </si>
  <si>
    <t>(Total income received / Total billings) x 100</t>
  </si>
  <si>
    <t>(Total annual water operating revenues / Annual direct costs for water) x 100</t>
  </si>
  <si>
    <t>(Total annual collections / Annual direct costs for water) x 100</t>
  </si>
  <si>
    <t>(Total annual subsidies / Annual direct costs for water) x 100</t>
  </si>
  <si>
    <t>(Total no of staff / (total no of registered
connections / 1,000))</t>
  </si>
  <si>
    <t>Total no of staff training hours/ Total no of
permanent staff</t>
  </si>
  <si>
    <t>(Total no. of customer complaints per year) / (total no of registered connections / 1000)</t>
  </si>
  <si>
    <t>(No of samples in compliance / No of tested
samples) x 100</t>
  </si>
  <si>
    <t>No of pipe breaks per month / total length of
transmisison and distribution network</t>
  </si>
  <si>
    <t>No of pipe breaks per month / total no of registered connections</t>
  </si>
  <si>
    <t>(Amount collected related to the reporting period / Amount billed related to the reporting period) * 100</t>
  </si>
  <si>
    <t>No. of interruptions / (No. of registered
connections * 1,000)</t>
  </si>
  <si>
    <t>no quarterly results</t>
  </si>
  <si>
    <t>nno quarterly results</t>
  </si>
  <si>
    <t>Quarterly results</t>
  </si>
  <si>
    <t>Calculation formula for indicator</t>
  </si>
  <si>
    <t>litres/capita/day</t>
  </si>
  <si>
    <t>m3/conn./month</t>
  </si>
  <si>
    <t>m3/km/month</t>
  </si>
  <si>
    <t>((Volume of water input - Volume of water sold) / Volume of water input) x 100</t>
  </si>
  <si>
    <t>Staff/1,000
connections</t>
  </si>
  <si>
    <t>training
hours/employee/y
ear</t>
  </si>
  <si>
    <t>no. of
complaints/1,000
conn./year</t>
  </si>
  <si>
    <t>breaks/km/month</t>
  </si>
  <si>
    <t>breaks/conn./mont
h</t>
  </si>
  <si>
    <t>No. / 1,000
connections</t>
  </si>
  <si>
    <t>KM/conn./year</t>
  </si>
  <si>
    <t>KM/inst.
conn./year</t>
  </si>
  <si>
    <t>KM/m3</t>
  </si>
  <si>
    <t>PROGRESS REPORT</t>
  </si>
  <si>
    <t>ABOUT PERFORMANCE OF</t>
  </si>
  <si>
    <t>Quarterly report:</t>
  </si>
  <si>
    <t>Year:</t>
  </si>
  <si>
    <t>[No. of Quarterly Report in the Year]</t>
  </si>
  <si>
    <t>Assessment
period:</t>
  </si>
  <si>
    <t>From [Day / Month] To [Day / Month]</t>
  </si>
  <si>
    <t>Structure of report:</t>
  </si>
  <si>
    <t>(A) Performance Indicators</t>
  </si>
  <si>
    <t>(B) Explanatory Remarks</t>
  </si>
  <si>
    <t>(C) Definitions</t>
  </si>
  <si>
    <t>Submitted by:</t>
  </si>
  <si>
    <t>[First and second name]</t>
  </si>
  <si>
    <t>Position:</t>
  </si>
  <si>
    <t>[Official position within the ViK]</t>
  </si>
  <si>
    <t>Signature:</t>
  </si>
  <si>
    <t xml:space="preserve">Date: </t>
  </si>
  <si>
    <t>[Date]</t>
  </si>
  <si>
    <t>[Signature]</t>
  </si>
  <si>
    <t>no quarterly reporting</t>
  </si>
  <si>
    <t>no quarterly reportinga</t>
  </si>
  <si>
    <t>January 01-December 31</t>
  </si>
  <si>
    <t>March 26, 2014</t>
  </si>
</sst>
</file>

<file path=xl/styles.xml><?xml version="1.0" encoding="utf-8"?>
<styleSheet xmlns="http://schemas.openxmlformats.org/spreadsheetml/2006/main">
  <fonts count="1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top" indent="1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top"/>
    </xf>
    <xf numFmtId="0" fontId="4" fillId="4" borderId="0" xfId="0" applyFont="1" applyFill="1" applyBorder="1" applyAlignment="1">
      <alignment horizontal="left" vertical="center" indent="2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4" borderId="1" xfId="0" applyFont="1" applyFill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0" fillId="0" borderId="0" xfId="0" applyFont="1"/>
    <xf numFmtId="0" fontId="2" fillId="4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left" vertical="center"/>
    </xf>
    <xf numFmtId="0" fontId="9" fillId="4" borderId="10" xfId="0" applyFont="1" applyFill="1" applyBorder="1" applyAlignment="1">
      <alignment horizontal="center" vertical="top"/>
    </xf>
    <xf numFmtId="0" fontId="7" fillId="4" borderId="0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 wrapText="1"/>
    </xf>
    <xf numFmtId="3" fontId="1" fillId="4" borderId="1" xfId="0" applyNumberFormat="1" applyFont="1" applyFill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3" borderId="10" xfId="0" applyNumberFormat="1" applyFont="1" applyFill="1" applyBorder="1" applyAlignment="1">
      <alignment horizontal="center" vertical="center"/>
    </xf>
    <xf numFmtId="0" fontId="0" fillId="4" borderId="0" xfId="0" applyFill="1"/>
    <xf numFmtId="10" fontId="2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1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0" fillId="0" borderId="0" xfId="0" applyFill="1"/>
    <xf numFmtId="3" fontId="0" fillId="0" borderId="1" xfId="0" applyNumberFormat="1" applyFill="1" applyBorder="1" applyAlignment="1">
      <alignment vertical="center" wrapText="1"/>
    </xf>
    <xf numFmtId="3" fontId="1" fillId="6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/>
    </xf>
    <xf numFmtId="0" fontId="13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9" fontId="0" fillId="0" borderId="0" xfId="1" applyFont="1" applyFill="1" applyAlignment="1">
      <alignment horizontal="center" vertical="center" wrapText="1"/>
    </xf>
    <xf numFmtId="9" fontId="0" fillId="0" borderId="0" xfId="0" applyNumberFormat="1" applyFill="1" applyAlignment="1">
      <alignment vertical="center" wrapText="1"/>
    </xf>
    <xf numFmtId="0" fontId="0" fillId="7" borderId="0" xfId="0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3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4" fontId="2" fillId="3" borderId="10" xfId="0" applyNumberFormat="1" applyFont="1" applyFill="1" applyBorder="1" applyAlignment="1">
      <alignment horizontal="left" vertical="center"/>
    </xf>
    <xf numFmtId="4" fontId="2" fillId="3" borderId="1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4" borderId="1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right" vertical="center" wrapText="1"/>
    </xf>
    <xf numFmtId="0" fontId="2" fillId="4" borderId="11" xfId="0" applyFont="1" applyFill="1" applyBorder="1" applyAlignment="1">
      <alignment horizontal="right" vertical="center" wrapText="1"/>
    </xf>
    <xf numFmtId="0" fontId="2" fillId="0" borderId="11" xfId="0" applyFont="1" applyBorder="1" applyAlignment="1">
      <alignment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wrapText="1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wrapText="1"/>
    </xf>
    <xf numFmtId="0" fontId="2" fillId="0" borderId="15" xfId="0" applyFont="1" applyFill="1" applyBorder="1" applyAlignment="1">
      <alignment wrapText="1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4" borderId="17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top"/>
    </xf>
    <xf numFmtId="0" fontId="1" fillId="4" borderId="10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vertical="top"/>
    </xf>
    <xf numFmtId="0" fontId="1" fillId="4" borderId="1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18</xdr:row>
      <xdr:rowOff>95249</xdr:rowOff>
    </xdr:from>
    <xdr:to>
      <xdr:col>7</xdr:col>
      <xdr:colOff>419100</xdr:colOff>
      <xdr:row>19</xdr:row>
      <xdr:rowOff>602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44724" y="9086849"/>
          <a:ext cx="2301876" cy="47685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92"/>
  <sheetViews>
    <sheetView showRuler="0" topLeftCell="D1" zoomScale="70" zoomScaleNormal="70" workbookViewId="0">
      <selection activeCell="P16" sqref="P16"/>
    </sheetView>
  </sheetViews>
  <sheetFormatPr defaultColWidth="11.42578125" defaultRowHeight="12.75"/>
  <cols>
    <col min="2" max="2" width="30.7109375" style="87" customWidth="1"/>
    <col min="3" max="3" width="40.7109375" customWidth="1"/>
    <col min="4" max="4" width="10.7109375" customWidth="1"/>
    <col min="5" max="19" width="11.5703125" customWidth="1"/>
    <col min="20" max="20" width="11.5703125" bestFit="1" customWidth="1"/>
    <col min="21" max="21" width="11.7109375" style="1" bestFit="1" customWidth="1"/>
    <col min="22" max="39" width="11.42578125" style="90"/>
  </cols>
  <sheetData>
    <row r="1" spans="1:39" s="1" customFormat="1" ht="28.5" customHeight="1">
      <c r="A1" s="117" t="s">
        <v>2</v>
      </c>
      <c r="B1" s="117" t="s">
        <v>0</v>
      </c>
      <c r="C1" s="117" t="s">
        <v>154</v>
      </c>
      <c r="D1" s="117" t="s">
        <v>155</v>
      </c>
      <c r="E1" s="68"/>
      <c r="F1" s="46"/>
      <c r="G1" s="46"/>
      <c r="H1" s="112" t="s">
        <v>160</v>
      </c>
      <c r="I1" s="46"/>
      <c r="J1" s="46"/>
      <c r="K1" s="46"/>
      <c r="L1" s="112" t="s">
        <v>160</v>
      </c>
      <c r="M1" s="46"/>
      <c r="N1" s="46"/>
      <c r="O1" s="46"/>
      <c r="P1" s="112" t="s">
        <v>160</v>
      </c>
      <c r="Q1" s="46"/>
      <c r="R1" s="46"/>
      <c r="S1" s="46"/>
      <c r="T1" s="53" t="str">
        <f>P1</f>
        <v>Quarterly
results</v>
      </c>
      <c r="U1" s="113" t="s">
        <v>169</v>
      </c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</row>
    <row r="2" spans="1:39" s="2" customFormat="1" ht="24.95" customHeight="1">
      <c r="A2" s="119"/>
      <c r="B2" s="119"/>
      <c r="C2" s="118"/>
      <c r="D2" s="118"/>
      <c r="E2" s="46" t="s">
        <v>156</v>
      </c>
      <c r="F2" s="46" t="s">
        <v>157</v>
      </c>
      <c r="G2" s="46" t="s">
        <v>158</v>
      </c>
      <c r="H2" s="53" t="s">
        <v>9</v>
      </c>
      <c r="I2" s="46" t="s">
        <v>159</v>
      </c>
      <c r="J2" s="46" t="s">
        <v>161</v>
      </c>
      <c r="K2" s="46" t="s">
        <v>162</v>
      </c>
      <c r="L2" s="112" t="s">
        <v>10</v>
      </c>
      <c r="M2" s="46" t="s">
        <v>163</v>
      </c>
      <c r="N2" s="46" t="s">
        <v>164</v>
      </c>
      <c r="O2" s="46" t="s">
        <v>168</v>
      </c>
      <c r="P2" s="53" t="s">
        <v>11</v>
      </c>
      <c r="Q2" s="46" t="s">
        <v>165</v>
      </c>
      <c r="R2" s="46" t="s">
        <v>166</v>
      </c>
      <c r="S2" s="46" t="s">
        <v>167</v>
      </c>
      <c r="T2" s="53" t="s">
        <v>12</v>
      </c>
      <c r="U2" s="53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</row>
    <row r="3" spans="1:39" s="2" customFormat="1" ht="5.0999999999999996" customHeight="1">
      <c r="A3" s="84"/>
      <c r="B3" s="84"/>
      <c r="C3" s="54"/>
      <c r="D3" s="43"/>
      <c r="E3" s="6"/>
      <c r="F3" s="6"/>
      <c r="G3" s="6"/>
      <c r="H3" s="30"/>
      <c r="I3" s="6"/>
      <c r="J3" s="6"/>
      <c r="K3" s="6"/>
      <c r="L3" s="30"/>
      <c r="M3" s="6"/>
      <c r="N3" s="6"/>
      <c r="O3" s="6"/>
      <c r="P3" s="30"/>
      <c r="Q3" s="6"/>
      <c r="R3" s="6"/>
      <c r="S3" s="6"/>
      <c r="T3" s="30"/>
      <c r="U3" s="30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</row>
    <row r="4" spans="1:39" s="44" customFormat="1" ht="50.1" customHeight="1">
      <c r="A4" s="98">
        <v>1</v>
      </c>
      <c r="B4" s="45" t="s">
        <v>77</v>
      </c>
      <c r="C4" s="45" t="s">
        <v>78</v>
      </c>
      <c r="D4" s="46" t="s">
        <v>153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96">
        <v>22000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5" spans="1:39" s="5" customFormat="1" ht="5.0999999999999996" customHeight="1">
      <c r="A5" s="101"/>
      <c r="B5" s="84"/>
      <c r="C5" s="54"/>
      <c r="D5" s="43"/>
      <c r="E5" s="74"/>
      <c r="F5" s="74"/>
      <c r="G5" s="74"/>
      <c r="H5" s="75"/>
      <c r="I5" s="74"/>
      <c r="J5" s="74"/>
      <c r="K5" s="74"/>
      <c r="L5" s="75"/>
      <c r="M5" s="74"/>
      <c r="N5" s="74"/>
      <c r="O5" s="74"/>
      <c r="P5" s="75"/>
      <c r="Q5" s="74"/>
      <c r="R5" s="74"/>
      <c r="S5" s="74"/>
      <c r="T5" s="75"/>
      <c r="U5" s="97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</row>
    <row r="6" spans="1:39" s="44" customFormat="1" ht="50.1" customHeight="1">
      <c r="A6" s="98">
        <f>+A4+1</f>
        <v>2</v>
      </c>
      <c r="B6" s="45" t="s">
        <v>80</v>
      </c>
      <c r="C6" s="104" t="s">
        <v>152</v>
      </c>
      <c r="D6" s="46" t="s">
        <v>153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96">
        <v>18000</v>
      </c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</row>
    <row r="7" spans="1:39" s="5" customFormat="1" ht="5.0999999999999996" customHeight="1">
      <c r="A7" s="101"/>
      <c r="B7" s="84"/>
      <c r="C7" s="54"/>
      <c r="D7" s="43"/>
      <c r="E7" s="74"/>
      <c r="F7" s="74"/>
      <c r="G7" s="74"/>
      <c r="H7" s="75"/>
      <c r="I7" s="74"/>
      <c r="J7" s="74"/>
      <c r="K7" s="74"/>
      <c r="L7" s="75"/>
      <c r="M7" s="74"/>
      <c r="N7" s="74"/>
      <c r="O7" s="74"/>
      <c r="P7" s="75"/>
      <c r="Q7" s="74"/>
      <c r="R7" s="74"/>
      <c r="S7" s="74"/>
      <c r="T7" s="75"/>
      <c r="U7" s="97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</row>
    <row r="8" spans="1:39" s="44" customFormat="1" ht="50.1" customHeight="1">
      <c r="A8" s="98">
        <f>+A6+1</f>
        <v>3</v>
      </c>
      <c r="B8" s="45" t="s">
        <v>81</v>
      </c>
      <c r="C8" s="45" t="s">
        <v>79</v>
      </c>
      <c r="D8" s="46" t="s">
        <v>153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96">
        <v>22000</v>
      </c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</row>
    <row r="9" spans="1:39" s="5" customFormat="1" ht="5.0999999999999996" customHeight="1">
      <c r="A9" s="101"/>
      <c r="B9" s="84"/>
      <c r="C9" s="54"/>
      <c r="D9" s="43"/>
      <c r="E9" s="74"/>
      <c r="F9" s="74"/>
      <c r="G9" s="74"/>
      <c r="H9" s="75"/>
      <c r="I9" s="74"/>
      <c r="J9" s="74"/>
      <c r="K9" s="74"/>
      <c r="L9" s="75"/>
      <c r="M9" s="74"/>
      <c r="N9" s="74"/>
      <c r="O9" s="74"/>
      <c r="P9" s="75"/>
      <c r="Q9" s="74"/>
      <c r="R9" s="74"/>
      <c r="S9" s="74"/>
      <c r="T9" s="75"/>
      <c r="U9" s="97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</row>
    <row r="10" spans="1:39" s="44" customFormat="1" ht="50.1" customHeight="1">
      <c r="A10" s="98">
        <f>+A8+1</f>
        <v>4</v>
      </c>
      <c r="B10" s="45" t="s">
        <v>82</v>
      </c>
      <c r="C10" s="45" t="s">
        <v>151</v>
      </c>
      <c r="D10" s="46" t="s">
        <v>153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96">
        <v>4500</v>
      </c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</row>
    <row r="11" spans="1:39" s="5" customFormat="1" ht="5.0999999999999996" customHeight="1">
      <c r="A11" s="101"/>
      <c r="B11" s="84"/>
      <c r="C11" s="54"/>
      <c r="D11" s="43"/>
      <c r="E11" s="74"/>
      <c r="F11" s="74"/>
      <c r="G11" s="74"/>
      <c r="H11" s="75"/>
      <c r="I11" s="74"/>
      <c r="J11" s="74"/>
      <c r="K11" s="74"/>
      <c r="L11" s="75"/>
      <c r="M11" s="74"/>
      <c r="N11" s="74"/>
      <c r="O11" s="74"/>
      <c r="P11" s="75"/>
      <c r="Q11" s="74"/>
      <c r="R11" s="74"/>
      <c r="S11" s="74"/>
      <c r="T11" s="75"/>
      <c r="U11" s="75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</row>
    <row r="12" spans="1:39" s="44" customFormat="1" ht="50.1" customHeight="1">
      <c r="A12" s="98">
        <f>+A10+1</f>
        <v>5</v>
      </c>
      <c r="B12" s="45" t="s">
        <v>83</v>
      </c>
      <c r="C12" s="45" t="s">
        <v>117</v>
      </c>
      <c r="D12" s="46" t="s">
        <v>14</v>
      </c>
      <c r="E12" s="91">
        <v>202346</v>
      </c>
      <c r="F12" s="91">
        <v>172642</v>
      </c>
      <c r="G12" s="91">
        <v>193901</v>
      </c>
      <c r="H12" s="76">
        <f>IF(OR(ISERROR(SUM(E12:G12)/3),E12="",F12="",G12=""),"",SUM(E12:G12)/3)</f>
        <v>189629.66666666666</v>
      </c>
      <c r="I12" s="91">
        <v>201151</v>
      </c>
      <c r="J12" s="91">
        <v>224190</v>
      </c>
      <c r="K12" s="91">
        <v>261281</v>
      </c>
      <c r="L12" s="76">
        <f>IF(OR(ISERROR(SUM(I12:K12)/3),I12="",J12="",K12=""),"",SUM(I12:K12)/3)</f>
        <v>228874</v>
      </c>
      <c r="M12" s="91">
        <v>340986</v>
      </c>
      <c r="N12" s="91">
        <v>326828</v>
      </c>
      <c r="O12" s="91">
        <v>229139</v>
      </c>
      <c r="P12" s="76">
        <f>IF(OR(ISERROR(SUM(M12:O12)/3),M12="",N12="",O12=""),"",SUM(M12:O12)/3)</f>
        <v>298984.33333333331</v>
      </c>
      <c r="Q12" s="91">
        <v>216039</v>
      </c>
      <c r="R12" s="91">
        <v>201176</v>
      </c>
      <c r="S12" s="91">
        <v>195807</v>
      </c>
      <c r="T12" s="76">
        <f>IF(OR(ISERROR(SUM(Q12:S12)/3),Q12="",R12="",S12=""),"",SUM(Q12:S12)/3)</f>
        <v>204340.66666666666</v>
      </c>
      <c r="U12" s="76">
        <f>IF(OR(ISERROR((T12+P12+L12+H12)/4),H12="",L12="",P12="",T12=""),"",(T12+P12+L12+H12)/4)</f>
        <v>230457.16666666666</v>
      </c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</row>
    <row r="13" spans="1:39" s="5" customFormat="1" ht="5.0999999999999996" customHeight="1">
      <c r="A13" s="101"/>
      <c r="B13" s="84"/>
      <c r="C13" s="54"/>
      <c r="D13" s="43"/>
      <c r="E13" s="74"/>
      <c r="F13" s="74"/>
      <c r="G13" s="74"/>
      <c r="H13" s="75"/>
      <c r="I13" s="74"/>
      <c r="J13" s="74"/>
      <c r="K13" s="74"/>
      <c r="L13" s="75"/>
      <c r="M13" s="74"/>
      <c r="N13" s="74"/>
      <c r="O13" s="74"/>
      <c r="P13" s="75"/>
      <c r="Q13" s="74"/>
      <c r="R13" s="74"/>
      <c r="S13" s="74"/>
      <c r="T13" s="75"/>
      <c r="U13" s="75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</row>
    <row r="14" spans="1:39" s="44" customFormat="1" ht="50.1" customHeight="1">
      <c r="A14" s="98">
        <f>+A12+1</f>
        <v>6</v>
      </c>
      <c r="B14" s="45" t="s">
        <v>84</v>
      </c>
      <c r="C14" s="104" t="s">
        <v>150</v>
      </c>
      <c r="D14" s="46" t="s">
        <v>153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8">
        <f>2994+1649+710</f>
        <v>5353</v>
      </c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</row>
    <row r="15" spans="1:39" s="5" customFormat="1" ht="5.0999999999999996" customHeight="1">
      <c r="A15" s="101"/>
      <c r="B15" s="84"/>
      <c r="C15" s="54"/>
      <c r="D15" s="43"/>
      <c r="E15" s="74"/>
      <c r="F15" s="74"/>
      <c r="G15" s="74"/>
      <c r="H15" s="75"/>
      <c r="I15" s="74"/>
      <c r="J15" s="74"/>
      <c r="K15" s="74"/>
      <c r="L15" s="75"/>
      <c r="M15" s="74"/>
      <c r="N15" s="74"/>
      <c r="O15" s="74"/>
      <c r="P15" s="75"/>
      <c r="Q15" s="74"/>
      <c r="R15" s="74"/>
      <c r="S15" s="74"/>
      <c r="T15" s="75"/>
      <c r="U15" s="75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</row>
    <row r="16" spans="1:39" s="44" customFormat="1" ht="50.1" customHeight="1">
      <c r="A16" s="98">
        <f>+A14+1</f>
        <v>7</v>
      </c>
      <c r="B16" s="45" t="s">
        <v>85</v>
      </c>
      <c r="C16" s="104" t="s">
        <v>118</v>
      </c>
      <c r="D16" s="46" t="s">
        <v>16</v>
      </c>
      <c r="E16" s="91">
        <f>34469+49749+8742</f>
        <v>92960</v>
      </c>
      <c r="F16" s="91">
        <f>28239+44119+7872+45</f>
        <v>80275</v>
      </c>
      <c r="G16" s="91">
        <f>27801+51695+9090+184</f>
        <v>88770</v>
      </c>
      <c r="H16" s="76">
        <f>IF(OR(ISERROR(SUM(E16:G16)/3),E16="",F16="",G16=""),"",SUM(E16:G16)/3)</f>
        <v>87335</v>
      </c>
      <c r="I16" s="91">
        <f>33099+48020+12015+174</f>
        <v>93308</v>
      </c>
      <c r="J16" s="91">
        <f>38258+55295+15786+227</f>
        <v>109566</v>
      </c>
      <c r="K16" s="91">
        <f>36644+71288+23916+6</f>
        <v>131854</v>
      </c>
      <c r="L16" s="76">
        <f>IF(OR(ISERROR(SUM(I16:K16)/3),I16="",J16="",K16=""),"",SUM(I16:K16)/3)</f>
        <v>111576</v>
      </c>
      <c r="M16" s="91">
        <f>40701+98552+36729+181</f>
        <v>176163</v>
      </c>
      <c r="N16" s="91">
        <v>170349</v>
      </c>
      <c r="O16" s="91">
        <v>114312</v>
      </c>
      <c r="P16" s="76">
        <f>IF(OR(ISERROR(SUM(M16:O16)/3),M16="",N16="",O16=""),"",SUM(M16:O16)/3)</f>
        <v>153608</v>
      </c>
      <c r="Q16" s="91">
        <v>104482</v>
      </c>
      <c r="R16" s="91">
        <v>93324</v>
      </c>
      <c r="S16" s="91">
        <v>98156</v>
      </c>
      <c r="T16" s="76">
        <f>IF(OR(ISERROR(SUM(Q16:S16)/3),Q16="",R16="",S16=""),"",SUM(Q16:S16)/3)</f>
        <v>98654</v>
      </c>
      <c r="U16" s="76">
        <f>IF(OR(ISERROR((T16+P16+L16+H16)/4),H16="",L16="",P16="",T16=""),"",(T16+P16+L16+H16)/4)</f>
        <v>112793.25</v>
      </c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</row>
    <row r="17" spans="1:39" s="5" customFormat="1" ht="5.0999999999999996" customHeight="1">
      <c r="A17" s="101"/>
      <c r="B17" s="84"/>
      <c r="C17" s="54"/>
      <c r="D17" s="43"/>
      <c r="E17" s="74"/>
      <c r="F17" s="74"/>
      <c r="G17" s="74"/>
      <c r="H17" s="75"/>
      <c r="I17" s="74"/>
      <c r="J17" s="74"/>
      <c r="K17" s="74"/>
      <c r="L17" s="75"/>
      <c r="M17" s="74"/>
      <c r="N17" s="74"/>
      <c r="O17" s="74"/>
      <c r="P17" s="75"/>
      <c r="Q17" s="74"/>
      <c r="R17" s="74"/>
      <c r="S17" s="74"/>
      <c r="T17" s="75"/>
      <c r="U17" s="75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</row>
    <row r="18" spans="1:39" s="44" customFormat="1" ht="50.1" customHeight="1">
      <c r="A18" s="98">
        <f>+A16+1</f>
        <v>8</v>
      </c>
      <c r="B18" s="45" t="s">
        <v>86</v>
      </c>
      <c r="C18" s="45" t="s">
        <v>149</v>
      </c>
      <c r="D18" s="46" t="s">
        <v>14</v>
      </c>
      <c r="E18" s="91">
        <v>89525</v>
      </c>
      <c r="F18" s="91">
        <v>76611</v>
      </c>
      <c r="G18" s="91">
        <v>74469</v>
      </c>
      <c r="H18" s="76">
        <f>IF(OR(ISERROR(SUM(E18:G18)/3),E18="",F18="",G18=""),"",SUM(E18:G18)/3)</f>
        <v>80201.666666666672</v>
      </c>
      <c r="I18" s="91">
        <v>83360</v>
      </c>
      <c r="J18" s="91">
        <v>113287</v>
      </c>
      <c r="K18" s="91">
        <v>112405</v>
      </c>
      <c r="L18" s="76">
        <f>IF(OR(ISERROR(SUM(I18:K18)/3),I18="",J18="",K18=""),"",SUM(I18:K18)/3)</f>
        <v>103017.33333333333</v>
      </c>
      <c r="M18" s="91">
        <v>167842</v>
      </c>
      <c r="N18" s="91">
        <v>196645</v>
      </c>
      <c r="O18" s="91">
        <v>112308</v>
      </c>
      <c r="P18" s="76">
        <f>IF(OR(ISERROR(SUM(M18:O18)/3),M18="",N18="",O18=""),"",SUM(M18:O18)/3)</f>
        <v>158931.66666666666</v>
      </c>
      <c r="Q18" s="91">
        <v>96141</v>
      </c>
      <c r="R18" s="91">
        <v>84433</v>
      </c>
      <c r="S18" s="91">
        <v>66526</v>
      </c>
      <c r="T18" s="76">
        <f>IF(OR(ISERROR(SUM(Q18:S18)/3),Q18="",R18="",S18=""),"",SUM(Q18:S18)/3)</f>
        <v>82366.666666666672</v>
      </c>
      <c r="U18" s="76">
        <f>IF(OR(ISERROR((T18+P18+L18+H18)/4),H18="",L18="",P18="",T18=""),"",(T18+P18+L18+H18)/4)</f>
        <v>106129.33333333333</v>
      </c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</row>
    <row r="19" spans="1:39" s="5" customFormat="1" ht="5.0999999999999996" customHeight="1">
      <c r="A19" s="101"/>
      <c r="B19" s="84"/>
      <c r="C19" s="54"/>
      <c r="D19" s="43"/>
      <c r="E19" s="74"/>
      <c r="F19" s="74"/>
      <c r="G19" s="74"/>
      <c r="H19" s="75"/>
      <c r="I19" s="74"/>
      <c r="J19" s="74"/>
      <c r="K19" s="74"/>
      <c r="L19" s="75"/>
      <c r="M19" s="74"/>
      <c r="N19" s="74"/>
      <c r="O19" s="74"/>
      <c r="P19" s="75"/>
      <c r="Q19" s="74"/>
      <c r="R19" s="74"/>
      <c r="S19" s="74"/>
      <c r="T19" s="75"/>
      <c r="U19" s="75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</row>
    <row r="20" spans="1:39" s="44" customFormat="1" ht="50.1" customHeight="1">
      <c r="A20" s="98">
        <f>+A18+1</f>
        <v>9</v>
      </c>
      <c r="B20" s="45" t="s">
        <v>87</v>
      </c>
      <c r="C20" s="45" t="s">
        <v>119</v>
      </c>
      <c r="D20" s="46" t="s">
        <v>14</v>
      </c>
      <c r="E20" s="91">
        <f>E18</f>
        <v>89525</v>
      </c>
      <c r="F20" s="91">
        <f t="shared" ref="F20:G20" si="0">F18</f>
        <v>76611</v>
      </c>
      <c r="G20" s="91">
        <f t="shared" si="0"/>
        <v>74469</v>
      </c>
      <c r="H20" s="76">
        <f>IF(OR(ISERROR(SUM(E20:G20)/3),E20="",F20="",G20=""),"",SUM(E20:G20)/3)</f>
        <v>80201.666666666672</v>
      </c>
      <c r="I20" s="91">
        <f>I18</f>
        <v>83360</v>
      </c>
      <c r="J20" s="91">
        <v>113287</v>
      </c>
      <c r="K20" s="91">
        <v>112405</v>
      </c>
      <c r="L20" s="76">
        <f>IF(OR(ISERROR(SUM(I20:K20)/3),I20="",J20="",K20=""),"",SUM(I20:K20)/3)</f>
        <v>103017.33333333333</v>
      </c>
      <c r="M20" s="91">
        <v>167842</v>
      </c>
      <c r="N20" s="91">
        <v>196645</v>
      </c>
      <c r="O20" s="91">
        <v>112308</v>
      </c>
      <c r="P20" s="76">
        <f>IF(OR(ISERROR(SUM(M20:O20)/3),M20="",N20="",O20=""),"",SUM(M20:O20)/3)</f>
        <v>158931.66666666666</v>
      </c>
      <c r="Q20" s="91">
        <v>96141</v>
      </c>
      <c r="R20" s="91">
        <v>84433</v>
      </c>
      <c r="S20" s="91">
        <v>66526</v>
      </c>
      <c r="T20" s="76">
        <f>IF(OR(ISERROR(SUM(Q20:S20)/3),Q20="",R20="",S20=""),"",SUM(Q20:S20)/3)</f>
        <v>82366.666666666672</v>
      </c>
      <c r="U20" s="76">
        <f>IF(OR(ISERROR((T20+P20+L20+H20)/4),H20="",L20="",P20="",T20=""),"",(T20+P20+L20+H20)/4)</f>
        <v>106129.33333333333</v>
      </c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</row>
    <row r="21" spans="1:39" s="5" customFormat="1" ht="5.0999999999999996" customHeight="1">
      <c r="A21" s="101"/>
      <c r="B21" s="84"/>
      <c r="C21" s="54"/>
      <c r="D21" s="43"/>
      <c r="E21" s="74"/>
      <c r="F21" s="74"/>
      <c r="G21" s="74"/>
      <c r="H21" s="75"/>
      <c r="I21" s="74"/>
      <c r="J21" s="74"/>
      <c r="K21" s="74"/>
      <c r="L21" s="75"/>
      <c r="M21" s="74"/>
      <c r="N21" s="74"/>
      <c r="O21" s="74"/>
      <c r="P21" s="75"/>
      <c r="Q21" s="74"/>
      <c r="R21" s="74"/>
      <c r="S21" s="74"/>
      <c r="T21" s="75"/>
      <c r="U21" s="75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</row>
    <row r="22" spans="1:39" s="44" customFormat="1" ht="50.1" customHeight="1">
      <c r="A22" s="98">
        <f>+A20+1</f>
        <v>10</v>
      </c>
      <c r="B22" s="45" t="s">
        <v>88</v>
      </c>
      <c r="C22" s="104" t="s">
        <v>148</v>
      </c>
      <c r="D22" s="46" t="s">
        <v>153</v>
      </c>
      <c r="E22" s="73"/>
      <c r="F22" s="73"/>
      <c r="G22" s="73"/>
      <c r="H22" s="91">
        <v>18000</v>
      </c>
      <c r="I22" s="73"/>
      <c r="J22" s="73"/>
      <c r="K22" s="73"/>
      <c r="L22" s="91">
        <v>18000</v>
      </c>
      <c r="M22" s="73"/>
      <c r="N22" s="73"/>
      <c r="O22" s="73"/>
      <c r="P22" s="91">
        <v>18000</v>
      </c>
      <c r="Q22" s="73"/>
      <c r="R22" s="73"/>
      <c r="S22" s="73"/>
      <c r="T22" s="91">
        <v>18000</v>
      </c>
      <c r="U22" s="76">
        <f>IF(OR(H22="",L22="",P22="",T22=""),"",SUM(H22,L22,P22,T22))</f>
        <v>72000</v>
      </c>
      <c r="V22" s="111" t="s">
        <v>72</v>
      </c>
      <c r="W22" s="111" t="s">
        <v>76</v>
      </c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</row>
    <row r="23" spans="1:39" s="5" customFormat="1" ht="5.0999999999999996" customHeight="1">
      <c r="A23" s="101"/>
      <c r="B23" s="84"/>
      <c r="C23" s="54"/>
      <c r="D23" s="43"/>
      <c r="E23" s="74"/>
      <c r="F23" s="74"/>
      <c r="G23" s="74"/>
      <c r="H23" s="75"/>
      <c r="I23" s="74"/>
      <c r="J23" s="74"/>
      <c r="K23" s="74"/>
      <c r="L23" s="75"/>
      <c r="M23" s="74"/>
      <c r="N23" s="74"/>
      <c r="O23" s="74"/>
      <c r="P23" s="75"/>
      <c r="Q23" s="74"/>
      <c r="R23" s="74"/>
      <c r="S23" s="74"/>
      <c r="T23" s="75"/>
      <c r="U23" s="75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</row>
    <row r="24" spans="1:39" s="44" customFormat="1" ht="50.1" customHeight="1">
      <c r="A24" s="98">
        <f>+A22+1</f>
        <v>11</v>
      </c>
      <c r="B24" s="45" t="s">
        <v>89</v>
      </c>
      <c r="C24" s="104" t="s">
        <v>120</v>
      </c>
      <c r="D24" s="46" t="s">
        <v>44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8">
        <v>184.5</v>
      </c>
      <c r="V24" s="105" t="s">
        <v>69</v>
      </c>
      <c r="W24" s="105" t="s">
        <v>70</v>
      </c>
      <c r="X24" s="50" t="s">
        <v>71</v>
      </c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</row>
    <row r="25" spans="1:39" s="5" customFormat="1" ht="5.0999999999999996" customHeight="1">
      <c r="A25" s="101"/>
      <c r="B25" s="84"/>
      <c r="C25" s="54"/>
      <c r="D25" s="43"/>
      <c r="E25" s="74"/>
      <c r="F25" s="74"/>
      <c r="G25" s="74"/>
      <c r="H25" s="75"/>
      <c r="I25" s="74"/>
      <c r="J25" s="74"/>
      <c r="K25" s="74"/>
      <c r="L25" s="75"/>
      <c r="M25" s="74"/>
      <c r="N25" s="74"/>
      <c r="O25" s="74"/>
      <c r="P25" s="75"/>
      <c r="Q25" s="74"/>
      <c r="R25" s="74"/>
      <c r="S25" s="74"/>
      <c r="T25" s="75"/>
      <c r="U25" s="75"/>
      <c r="V25" s="106"/>
      <c r="W25" s="106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</row>
    <row r="26" spans="1:39" s="5" customFormat="1" ht="50.1" customHeight="1">
      <c r="A26" s="98">
        <f>+A24+1</f>
        <v>12</v>
      </c>
      <c r="B26" s="45" t="s">
        <v>90</v>
      </c>
      <c r="C26" s="104" t="s">
        <v>147</v>
      </c>
      <c r="D26" s="46" t="s">
        <v>153</v>
      </c>
      <c r="E26" s="73"/>
      <c r="F26" s="73"/>
      <c r="G26" s="73"/>
      <c r="H26" s="76"/>
      <c r="I26" s="73"/>
      <c r="J26" s="73"/>
      <c r="K26" s="73"/>
      <c r="L26" s="76"/>
      <c r="M26" s="73"/>
      <c r="N26" s="73"/>
      <c r="O26" s="73"/>
      <c r="P26" s="76"/>
      <c r="Q26" s="73"/>
      <c r="R26" s="73"/>
      <c r="S26" s="73"/>
      <c r="T26" s="76"/>
      <c r="U26" s="77">
        <f>U14</f>
        <v>5353</v>
      </c>
      <c r="V26" s="107">
        <f>344920+W26*X26</f>
        <v>1073000.5</v>
      </c>
      <c r="W26" s="107">
        <v>1456161</v>
      </c>
      <c r="X26" s="110">
        <v>0.5</v>
      </c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</row>
    <row r="27" spans="1:39" s="5" customFormat="1" ht="5.0999999999999996" customHeight="1">
      <c r="A27" s="101"/>
      <c r="B27" s="84"/>
      <c r="C27" s="54"/>
      <c r="D27" s="43"/>
      <c r="E27" s="74"/>
      <c r="F27" s="74"/>
      <c r="G27" s="74"/>
      <c r="H27" s="75"/>
      <c r="I27" s="74"/>
      <c r="J27" s="74"/>
      <c r="K27" s="74"/>
      <c r="L27" s="75"/>
      <c r="M27" s="74"/>
      <c r="N27" s="74"/>
      <c r="O27" s="74"/>
      <c r="P27" s="75"/>
      <c r="Q27" s="74"/>
      <c r="R27" s="74"/>
      <c r="S27" s="74"/>
      <c r="T27" s="75"/>
      <c r="U27" s="75"/>
      <c r="V27" s="106"/>
      <c r="W27" s="106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</row>
    <row r="28" spans="1:39" s="44" customFormat="1" ht="50.1" customHeight="1">
      <c r="A28" s="98">
        <f>+A26+1</f>
        <v>13</v>
      </c>
      <c r="B28" s="45" t="s">
        <v>91</v>
      </c>
      <c r="C28" s="104" t="s">
        <v>146</v>
      </c>
      <c r="D28" s="46" t="s">
        <v>43</v>
      </c>
      <c r="E28" s="73"/>
      <c r="F28" s="73"/>
      <c r="G28" s="73"/>
      <c r="H28" s="76"/>
      <c r="I28" s="73"/>
      <c r="J28" s="73"/>
      <c r="K28" s="73"/>
      <c r="L28" s="76"/>
      <c r="M28" s="73"/>
      <c r="N28" s="73"/>
      <c r="O28" s="73"/>
      <c r="P28" s="76"/>
      <c r="Q28" s="73"/>
      <c r="R28" s="73"/>
      <c r="S28" s="73"/>
      <c r="T28" s="76"/>
      <c r="U28" s="78">
        <f>V26*V28</f>
        <v>1040810.485</v>
      </c>
      <c r="V28" s="108">
        <v>0.97</v>
      </c>
      <c r="W28" s="108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</row>
    <row r="29" spans="1:39" s="5" customFormat="1" ht="5.0999999999999996" customHeight="1">
      <c r="A29" s="101"/>
      <c r="B29" s="84"/>
      <c r="C29" s="54"/>
      <c r="D29" s="43"/>
      <c r="E29" s="74"/>
      <c r="F29" s="74"/>
      <c r="G29" s="74"/>
      <c r="H29" s="75"/>
      <c r="I29" s="74"/>
      <c r="J29" s="74"/>
      <c r="K29" s="74"/>
      <c r="L29" s="75"/>
      <c r="M29" s="74"/>
      <c r="N29" s="74"/>
      <c r="O29" s="74"/>
      <c r="P29" s="75"/>
      <c r="Q29" s="74"/>
      <c r="R29" s="74"/>
      <c r="S29" s="74"/>
      <c r="T29" s="75"/>
      <c r="U29" s="75"/>
      <c r="V29" s="106"/>
      <c r="W29" s="106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</row>
    <row r="30" spans="1:39" s="44" customFormat="1" ht="50.1" customHeight="1">
      <c r="A30" s="98">
        <f>+A28+1</f>
        <v>14</v>
      </c>
      <c r="B30" s="45" t="s">
        <v>92</v>
      </c>
      <c r="C30" s="104" t="s">
        <v>145</v>
      </c>
      <c r="D30" s="46" t="s">
        <v>43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8">
        <f>V26*V30</f>
        <v>32190.015000000029</v>
      </c>
      <c r="V30" s="108">
        <f>1-V28</f>
        <v>3.0000000000000027E-2</v>
      </c>
      <c r="W30" s="106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</row>
    <row r="31" spans="1:39" s="5" customFormat="1" ht="5.0999999999999996" customHeight="1">
      <c r="A31" s="101"/>
      <c r="B31" s="84"/>
      <c r="C31" s="54"/>
      <c r="D31" s="43"/>
      <c r="E31" s="74"/>
      <c r="F31" s="74"/>
      <c r="G31" s="74"/>
      <c r="H31" s="75"/>
      <c r="I31" s="74"/>
      <c r="J31" s="74"/>
      <c r="K31" s="74"/>
      <c r="L31" s="75"/>
      <c r="M31" s="74"/>
      <c r="N31" s="74"/>
      <c r="O31" s="74"/>
      <c r="P31" s="75"/>
      <c r="Q31" s="74"/>
      <c r="R31" s="74"/>
      <c r="S31" s="74"/>
      <c r="T31" s="75"/>
      <c r="U31" s="75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</row>
    <row r="32" spans="1:39" s="44" customFormat="1" ht="50.1" customHeight="1">
      <c r="A32" s="98">
        <f>+A30+1</f>
        <v>15</v>
      </c>
      <c r="B32" s="45" t="s">
        <v>93</v>
      </c>
      <c r="C32" s="104" t="s">
        <v>145</v>
      </c>
      <c r="D32" s="46" t="s">
        <v>43</v>
      </c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8">
        <f>W32*W26</f>
        <v>698957.28</v>
      </c>
      <c r="V32" s="50"/>
      <c r="W32" s="109">
        <v>0.48</v>
      </c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</row>
    <row r="33" spans="1:39" s="5" customFormat="1" ht="5.0999999999999996" customHeight="1">
      <c r="A33" s="101"/>
      <c r="B33" s="84"/>
      <c r="C33" s="54"/>
      <c r="D33" s="43"/>
      <c r="E33" s="74"/>
      <c r="F33" s="74"/>
      <c r="G33" s="74"/>
      <c r="H33" s="75"/>
      <c r="I33" s="74"/>
      <c r="J33" s="74"/>
      <c r="K33" s="74"/>
      <c r="L33" s="75"/>
      <c r="M33" s="74"/>
      <c r="N33" s="74"/>
      <c r="O33" s="74"/>
      <c r="P33" s="75"/>
      <c r="Q33" s="74"/>
      <c r="R33" s="74"/>
      <c r="S33" s="74"/>
      <c r="T33" s="75"/>
      <c r="U33" s="75"/>
      <c r="V33" s="50"/>
      <c r="W33" s="109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s="44" customFormat="1" ht="50.1" customHeight="1">
      <c r="A34" s="98">
        <f>+A32+1</f>
        <v>16</v>
      </c>
      <c r="B34" s="45" t="s">
        <v>94</v>
      </c>
      <c r="C34" s="104" t="s">
        <v>144</v>
      </c>
      <c r="D34" s="46" t="s">
        <v>43</v>
      </c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8">
        <f>W34*W26</f>
        <v>29123.220000000027</v>
      </c>
      <c r="V34" s="50"/>
      <c r="W34" s="109">
        <f>X26-W32</f>
        <v>2.0000000000000018E-2</v>
      </c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</row>
    <row r="35" spans="1:39" s="5" customFormat="1" ht="5.0999999999999996" customHeight="1">
      <c r="A35" s="101"/>
      <c r="B35" s="84"/>
      <c r="C35" s="54"/>
      <c r="D35" s="43"/>
      <c r="E35" s="74"/>
      <c r="F35" s="74"/>
      <c r="G35" s="74"/>
      <c r="H35" s="75"/>
      <c r="I35" s="74"/>
      <c r="J35" s="74"/>
      <c r="K35" s="74"/>
      <c r="L35" s="75"/>
      <c r="M35" s="74"/>
      <c r="N35" s="74"/>
      <c r="O35" s="74"/>
      <c r="P35" s="75"/>
      <c r="Q35" s="74"/>
      <c r="R35" s="74"/>
      <c r="S35" s="74"/>
      <c r="T35" s="75"/>
      <c r="U35" s="75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</row>
    <row r="36" spans="1:39" s="44" customFormat="1" ht="50.1" customHeight="1">
      <c r="A36" s="98">
        <f>+A34+1</f>
        <v>17</v>
      </c>
      <c r="B36" s="45" t="s">
        <v>95</v>
      </c>
      <c r="C36" s="52" t="s">
        <v>121</v>
      </c>
      <c r="D36" s="46" t="s">
        <v>43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8">
        <v>163837</v>
      </c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</row>
    <row r="37" spans="1:39" s="5" customFormat="1" ht="5.0999999999999996" customHeight="1">
      <c r="A37" s="101"/>
      <c r="B37" s="84"/>
      <c r="C37" s="54"/>
      <c r="D37" s="43"/>
      <c r="E37" s="74"/>
      <c r="F37" s="74"/>
      <c r="G37" s="74"/>
      <c r="H37" s="75"/>
      <c r="I37" s="74"/>
      <c r="J37" s="74"/>
      <c r="K37" s="74"/>
      <c r="L37" s="75"/>
      <c r="M37" s="74"/>
      <c r="N37" s="74"/>
      <c r="O37" s="74"/>
      <c r="P37" s="75"/>
      <c r="Q37" s="74"/>
      <c r="R37" s="74"/>
      <c r="S37" s="74"/>
      <c r="T37" s="75"/>
      <c r="U37" s="75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</row>
    <row r="38" spans="1:39" s="44" customFormat="1" ht="50.1" customHeight="1">
      <c r="A38" s="98">
        <f>+A36+1</f>
        <v>18</v>
      </c>
      <c r="B38" s="45" t="s">
        <v>96</v>
      </c>
      <c r="C38" s="114" t="s">
        <v>122</v>
      </c>
      <c r="D38" s="46" t="s">
        <v>43</v>
      </c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8">
        <v>0</v>
      </c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</row>
    <row r="39" spans="1:39" s="5" customFormat="1" ht="5.0999999999999996" customHeight="1">
      <c r="A39" s="101"/>
      <c r="B39" s="84"/>
      <c r="C39" s="54"/>
      <c r="D39" s="43"/>
      <c r="E39" s="74"/>
      <c r="F39" s="74"/>
      <c r="G39" s="74"/>
      <c r="H39" s="75"/>
      <c r="I39" s="74"/>
      <c r="J39" s="74"/>
      <c r="K39" s="74"/>
      <c r="L39" s="75"/>
      <c r="M39" s="74"/>
      <c r="N39" s="74"/>
      <c r="O39" s="74"/>
      <c r="P39" s="75"/>
      <c r="Q39" s="74"/>
      <c r="R39" s="74"/>
      <c r="S39" s="74"/>
      <c r="T39" s="75"/>
      <c r="U39" s="75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</row>
    <row r="40" spans="1:39" s="44" customFormat="1" ht="55.15" customHeight="1">
      <c r="A40" s="98">
        <f>+A38+1</f>
        <v>19</v>
      </c>
      <c r="B40" s="45" t="s">
        <v>97</v>
      </c>
      <c r="C40" s="104" t="s">
        <v>143</v>
      </c>
      <c r="D40" s="46" t="s">
        <v>43</v>
      </c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8">
        <v>0</v>
      </c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</row>
    <row r="41" spans="1:39" s="5" customFormat="1" ht="5.0999999999999996" customHeight="1">
      <c r="A41" s="101"/>
      <c r="B41" s="84"/>
      <c r="C41" s="54"/>
      <c r="D41" s="43"/>
      <c r="E41" s="74"/>
      <c r="F41" s="74"/>
      <c r="G41" s="74"/>
      <c r="H41" s="75"/>
      <c r="I41" s="74"/>
      <c r="J41" s="74"/>
      <c r="K41" s="74"/>
      <c r="L41" s="75"/>
      <c r="M41" s="74"/>
      <c r="N41" s="74"/>
      <c r="O41" s="74"/>
      <c r="P41" s="75"/>
      <c r="Q41" s="74"/>
      <c r="R41" s="74"/>
      <c r="S41" s="74"/>
      <c r="T41" s="75"/>
      <c r="U41" s="75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</row>
    <row r="42" spans="1:39" s="44" customFormat="1" ht="63" customHeight="1">
      <c r="A42" s="98">
        <f>+A40+1</f>
        <v>20</v>
      </c>
      <c r="B42" s="45" t="s">
        <v>98</v>
      </c>
      <c r="C42" s="104" t="s">
        <v>142</v>
      </c>
      <c r="D42" s="46" t="s">
        <v>43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8">
        <v>0</v>
      </c>
      <c r="V42" s="106" t="s">
        <v>73</v>
      </c>
      <c r="W42" s="50" t="s">
        <v>74</v>
      </c>
      <c r="X42" s="50" t="s">
        <v>75</v>
      </c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</row>
    <row r="43" spans="1:39" s="5" customFormat="1" ht="5.0999999999999996" customHeight="1">
      <c r="A43" s="101"/>
      <c r="B43" s="84"/>
      <c r="C43" s="54"/>
      <c r="D43" s="43"/>
      <c r="E43" s="74"/>
      <c r="F43" s="74"/>
      <c r="G43" s="74"/>
      <c r="H43" s="75"/>
      <c r="I43" s="74"/>
      <c r="J43" s="74"/>
      <c r="K43" s="74"/>
      <c r="L43" s="75"/>
      <c r="M43" s="74"/>
      <c r="N43" s="74"/>
      <c r="O43" s="74"/>
      <c r="P43" s="75"/>
      <c r="Q43" s="74"/>
      <c r="R43" s="74"/>
      <c r="S43" s="74"/>
      <c r="T43" s="75"/>
      <c r="U43" s="75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</row>
    <row r="44" spans="1:39" s="44" customFormat="1" ht="64.5" customHeight="1">
      <c r="A44" s="98">
        <f>+A42+1</f>
        <v>21</v>
      </c>
      <c r="B44" s="45" t="s">
        <v>99</v>
      </c>
      <c r="C44" s="104" t="s">
        <v>141</v>
      </c>
      <c r="D44" s="46" t="s">
        <v>43</v>
      </c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8">
        <f>SUM(V44:X44)</f>
        <v>1396187</v>
      </c>
      <c r="V44" s="78">
        <v>822106</v>
      </c>
      <c r="W44" s="78">
        <v>194578</v>
      </c>
      <c r="X44" s="78">
        <v>379503</v>
      </c>
      <c r="Y44" s="78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</row>
    <row r="45" spans="1:39" s="5" customFormat="1" ht="5.0999999999999996" customHeight="1">
      <c r="A45" s="101"/>
      <c r="B45" s="84"/>
      <c r="C45" s="54"/>
      <c r="D45" s="43"/>
      <c r="E45" s="74"/>
      <c r="F45" s="74"/>
      <c r="G45" s="74"/>
      <c r="H45" s="75"/>
      <c r="I45" s="74"/>
      <c r="J45" s="74"/>
      <c r="K45" s="74"/>
      <c r="L45" s="75"/>
      <c r="M45" s="74"/>
      <c r="N45" s="74"/>
      <c r="O45" s="74"/>
      <c r="P45" s="75"/>
      <c r="Q45" s="74"/>
      <c r="R45" s="74"/>
      <c r="S45" s="74"/>
      <c r="T45" s="75"/>
      <c r="U45" s="75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</row>
    <row r="46" spans="1:39" s="44" customFormat="1" ht="66.75" customHeight="1">
      <c r="A46" s="98">
        <f>+A44+1</f>
        <v>22</v>
      </c>
      <c r="B46" s="45" t="s">
        <v>100</v>
      </c>
      <c r="C46" s="45" t="s">
        <v>123</v>
      </c>
      <c r="D46" s="46" t="s">
        <v>153</v>
      </c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8">
        <v>800</v>
      </c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</row>
    <row r="47" spans="1:39" s="5" customFormat="1" ht="5.0999999999999996" customHeight="1">
      <c r="A47" s="101"/>
      <c r="B47" s="84"/>
      <c r="C47" s="54"/>
      <c r="D47" s="43"/>
      <c r="E47" s="74"/>
      <c r="F47" s="74"/>
      <c r="G47" s="74"/>
      <c r="H47" s="75"/>
      <c r="I47" s="74"/>
      <c r="J47" s="74"/>
      <c r="K47" s="74"/>
      <c r="L47" s="75"/>
      <c r="M47" s="74"/>
      <c r="N47" s="74"/>
      <c r="O47" s="74"/>
      <c r="P47" s="75"/>
      <c r="Q47" s="74"/>
      <c r="R47" s="74"/>
      <c r="S47" s="74"/>
      <c r="T47" s="75"/>
      <c r="U47" s="75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</row>
    <row r="48" spans="1:39" s="44" customFormat="1" ht="66.75" customHeight="1">
      <c r="A48" s="98">
        <f>+A46+1</f>
        <v>23</v>
      </c>
      <c r="B48" s="45" t="s">
        <v>101</v>
      </c>
      <c r="C48" s="45" t="s">
        <v>124</v>
      </c>
      <c r="D48" s="46" t="s">
        <v>43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8">
        <f>664065</f>
        <v>664065</v>
      </c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</row>
    <row r="49" spans="1:39" s="5" customFormat="1" ht="5.0999999999999996" customHeight="1">
      <c r="A49" s="101"/>
      <c r="B49" s="84"/>
      <c r="C49" s="54"/>
      <c r="D49" s="43"/>
      <c r="E49" s="74"/>
      <c r="F49" s="74"/>
      <c r="G49" s="74"/>
      <c r="H49" s="75"/>
      <c r="I49" s="74"/>
      <c r="J49" s="74"/>
      <c r="K49" s="74"/>
      <c r="L49" s="75"/>
      <c r="M49" s="74"/>
      <c r="N49" s="74"/>
      <c r="O49" s="74"/>
      <c r="P49" s="75"/>
      <c r="Q49" s="74"/>
      <c r="R49" s="74"/>
      <c r="S49" s="74"/>
      <c r="T49" s="75"/>
      <c r="U49" s="75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</row>
    <row r="50" spans="1:39" s="44" customFormat="1" ht="66.75" customHeight="1">
      <c r="A50" s="98">
        <f>+A48+1</f>
        <v>24</v>
      </c>
      <c r="B50" s="45" t="s">
        <v>102</v>
      </c>
      <c r="C50" s="45" t="s">
        <v>140</v>
      </c>
      <c r="D50" s="46" t="s">
        <v>153</v>
      </c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8">
        <v>0</v>
      </c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</row>
    <row r="51" spans="1:39" s="5" customFormat="1" ht="5.0999999999999996" customHeight="1">
      <c r="A51" s="101"/>
      <c r="B51" s="84"/>
      <c r="C51" s="54"/>
      <c r="D51" s="43"/>
      <c r="E51" s="74"/>
      <c r="F51" s="74"/>
      <c r="G51" s="74"/>
      <c r="H51" s="75"/>
      <c r="I51" s="74"/>
      <c r="J51" s="74"/>
      <c r="K51" s="74"/>
      <c r="L51" s="75"/>
      <c r="M51" s="74"/>
      <c r="N51" s="74"/>
      <c r="O51" s="74"/>
      <c r="P51" s="75"/>
      <c r="Q51" s="74"/>
      <c r="R51" s="74"/>
      <c r="S51" s="74"/>
      <c r="T51" s="75"/>
      <c r="U51" s="75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</row>
    <row r="52" spans="1:39" s="44" customFormat="1" ht="66.75" customHeight="1">
      <c r="A52" s="98">
        <f>+A50+1</f>
        <v>25</v>
      </c>
      <c r="B52" s="45" t="s">
        <v>103</v>
      </c>
      <c r="C52" s="45" t="s">
        <v>125</v>
      </c>
      <c r="D52" s="46" t="s">
        <v>43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8">
        <v>0</v>
      </c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</row>
    <row r="53" spans="1:39" s="5" customFormat="1" ht="5.0999999999999996" customHeight="1">
      <c r="A53" s="101"/>
      <c r="B53" s="84"/>
      <c r="C53" s="54"/>
      <c r="D53" s="43"/>
      <c r="E53" s="74"/>
      <c r="F53" s="74"/>
      <c r="G53" s="74"/>
      <c r="H53" s="75"/>
      <c r="I53" s="74"/>
      <c r="J53" s="74"/>
      <c r="K53" s="74"/>
      <c r="L53" s="75"/>
      <c r="M53" s="74"/>
      <c r="N53" s="74"/>
      <c r="O53" s="74"/>
      <c r="P53" s="75"/>
      <c r="Q53" s="74"/>
      <c r="R53" s="74"/>
      <c r="S53" s="74"/>
      <c r="T53" s="75"/>
      <c r="U53" s="75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</row>
    <row r="54" spans="1:39" s="44" customFormat="1" ht="50.1" customHeight="1">
      <c r="A54" s="98">
        <f>+A52+1</f>
        <v>26</v>
      </c>
      <c r="B54" s="45" t="s">
        <v>104</v>
      </c>
      <c r="C54" s="52" t="s">
        <v>126</v>
      </c>
      <c r="D54" s="46" t="s">
        <v>43</v>
      </c>
      <c r="E54" s="91">
        <f>225368.22*60%</f>
        <v>135220.932</v>
      </c>
      <c r="F54" s="91">
        <f>255907*60%</f>
        <v>153544.19999999998</v>
      </c>
      <c r="G54" s="91">
        <f>170660*60%</f>
        <v>102396</v>
      </c>
      <c r="H54" s="78">
        <f>IF(OR(ISERROR(SUM(E54:G54)/3),E54="",F54="",G54=""),"",SUM(E54:G54)/3)</f>
        <v>130387.04399999999</v>
      </c>
      <c r="I54" s="91">
        <f>201486*60%</f>
        <v>120891.59999999999</v>
      </c>
      <c r="J54" s="91">
        <f>202485*60%</f>
        <v>121491</v>
      </c>
      <c r="K54" s="91">
        <f>227352*60%</f>
        <v>136411.19999999998</v>
      </c>
      <c r="L54" s="76">
        <f>IF(OR(ISERROR(SUM(I54:K54)/3),I54="",J54="",K54=""),"",SUM(I54:K54)/3)</f>
        <v>126264.59999999998</v>
      </c>
      <c r="M54" s="91">
        <f>252413*60%</f>
        <v>151447.79999999999</v>
      </c>
      <c r="N54" s="91">
        <v>154252</v>
      </c>
      <c r="O54" s="91">
        <v>180449</v>
      </c>
      <c r="P54" s="76">
        <f>IF(OR(ISERROR(SUM(M54:O54)/3),M54="",N54="",O54=""),"",SUM(M54:O54)/3)</f>
        <v>162049.60000000001</v>
      </c>
      <c r="Q54" s="91">
        <v>149643</v>
      </c>
      <c r="R54" s="91">
        <v>136500</v>
      </c>
      <c r="S54" s="91">
        <v>173552</v>
      </c>
      <c r="T54" s="76">
        <f>IF(OR(ISERROR(SUM(Q54:S54)/3),Q54="",R54="",S54=""),"",SUM(Q54:S54)/3)</f>
        <v>153231.66666666666</v>
      </c>
      <c r="U54" s="76">
        <f>IF(OR(ISERROR((T54+P54+L54+H54)/4),H54="",L54="",P54="",T54=""),"",(T54+P54+L54+H54)/4)</f>
        <v>142983.22766666667</v>
      </c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</row>
    <row r="55" spans="1:39" s="5" customFormat="1" ht="5.0999999999999996" customHeight="1">
      <c r="A55" s="101"/>
      <c r="B55" s="84"/>
      <c r="C55" s="54"/>
      <c r="D55" s="43"/>
      <c r="E55" s="74"/>
      <c r="F55" s="74"/>
      <c r="G55" s="74"/>
      <c r="H55" s="75"/>
      <c r="I55" s="74"/>
      <c r="J55" s="74"/>
      <c r="K55" s="74"/>
      <c r="L55" s="75"/>
      <c r="M55" s="74"/>
      <c r="N55" s="74"/>
      <c r="O55" s="74"/>
      <c r="P55" s="75"/>
      <c r="Q55" s="74"/>
      <c r="R55" s="74"/>
      <c r="S55" s="74"/>
      <c r="T55" s="75"/>
      <c r="U55" s="75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</row>
    <row r="56" spans="1:39" s="44" customFormat="1" ht="50.1" customHeight="1">
      <c r="A56" s="98">
        <f>+A54+1</f>
        <v>27</v>
      </c>
      <c r="B56" s="45" t="s">
        <v>105</v>
      </c>
      <c r="C56" s="104" t="s">
        <v>139</v>
      </c>
      <c r="D56" s="46" t="s">
        <v>43</v>
      </c>
      <c r="E56" s="91">
        <f>87348.03+1394.12+7614.22+122.4+11441.38+862.4+1358.3+0.2+67.2</f>
        <v>110208.24999999999</v>
      </c>
      <c r="F56" s="91">
        <f>88844+6486</f>
        <v>95330</v>
      </c>
      <c r="G56" s="91">
        <f>86427+6260</f>
        <v>92687</v>
      </c>
      <c r="H56" s="76">
        <f>IF(OR(ISERROR(SUM(E56:G56)/3),E56="",F56="",G56=""),"",SUM(E56:G56)/3)</f>
        <v>99408.416666666672</v>
      </c>
      <c r="I56" s="91">
        <f>81216.14+906.36+6668.26+70.74+11411.4+811.36+1198.72+0.3+64.4</f>
        <v>102347.68</v>
      </c>
      <c r="J56" s="91">
        <f>108857.66+1406.86+6965.97+75.06+11435.29+1110.36+1253.23+0.4+66.4</f>
        <v>131171.22999999998</v>
      </c>
      <c r="K56" s="91">
        <f>109658.05+1907.36+7370.86+62.28+11445.24+1103.47+1289.86+0.3+65.6</f>
        <v>132903.01999999999</v>
      </c>
      <c r="L56" s="76">
        <f>IF(OR(ISERROR(SUM(I56:K56)/3),I56="",J56="",K56=""),"",SUM(I56:K56)/3)</f>
        <v>122140.64333333331</v>
      </c>
      <c r="M56" s="91">
        <f>160491.26+5422.69+9297.91+57.42+11453.99+1655.42+1628.57+0.2+46.4</f>
        <v>190053.86000000004</v>
      </c>
      <c r="N56" s="91">
        <v>249723</v>
      </c>
      <c r="O56" s="91">
        <v>149967</v>
      </c>
      <c r="P56" s="76">
        <f>IF(OR(ISERROR(SUM(M56:O56)/3),M56="",N56="",O56=""),"",SUM(M56:O56)/3)</f>
        <v>196581.28666666671</v>
      </c>
      <c r="Q56" s="91">
        <v>131439</v>
      </c>
      <c r="R56" s="91">
        <v>131136</v>
      </c>
      <c r="S56" s="91">
        <v>105984</v>
      </c>
      <c r="T56" s="76">
        <f>IF(OR(ISERROR(SUM(Q56:S56)/3),Q56="",R56="",S56=""),"",SUM(Q56:S56)/3)</f>
        <v>122853</v>
      </c>
      <c r="U56" s="76">
        <f>IF(OR(ISERROR((T56+P56+L56+H56)/4),H56="",L56="",P56="",T56=""),"",(T56+P56+L56+H56)/4)</f>
        <v>135245.83666666667</v>
      </c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</row>
    <row r="57" spans="1:39" s="5" customFormat="1" ht="5.0999999999999996" customHeight="1">
      <c r="A57" s="101"/>
      <c r="B57" s="84"/>
      <c r="C57" s="54"/>
      <c r="D57" s="43"/>
      <c r="E57" s="74"/>
      <c r="F57" s="74"/>
      <c r="G57" s="74"/>
      <c r="H57" s="75"/>
      <c r="I57" s="74"/>
      <c r="J57" s="74"/>
      <c r="K57" s="74"/>
      <c r="L57" s="75"/>
      <c r="M57" s="74"/>
      <c r="N57" s="74"/>
      <c r="O57" s="74"/>
      <c r="P57" s="75"/>
      <c r="Q57" s="74"/>
      <c r="R57" s="74"/>
      <c r="S57" s="74"/>
      <c r="T57" s="75"/>
      <c r="U57" s="75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</row>
    <row r="58" spans="1:39" s="44" customFormat="1" ht="50.1" customHeight="1">
      <c r="A58" s="98">
        <f>+A56+1</f>
        <v>28</v>
      </c>
      <c r="B58" s="45" t="s">
        <v>106</v>
      </c>
      <c r="C58" s="104" t="s">
        <v>138</v>
      </c>
      <c r="D58" s="46" t="s">
        <v>43</v>
      </c>
      <c r="E58" s="73"/>
      <c r="F58" s="73"/>
      <c r="G58" s="73"/>
      <c r="H58" s="76"/>
      <c r="I58" s="73"/>
      <c r="J58" s="73"/>
      <c r="K58" s="73"/>
      <c r="L58" s="76"/>
      <c r="M58" s="73"/>
      <c r="N58" s="73"/>
      <c r="O58" s="73"/>
      <c r="P58" s="76"/>
      <c r="Q58" s="73"/>
      <c r="R58" s="73"/>
      <c r="S58" s="73"/>
      <c r="T58" s="76"/>
      <c r="U58" s="78">
        <v>0</v>
      </c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</row>
    <row r="59" spans="1:39" s="5" customFormat="1" ht="5.0999999999999996" customHeight="1">
      <c r="A59" s="101"/>
      <c r="B59" s="84"/>
      <c r="C59" s="54"/>
      <c r="D59" s="43"/>
      <c r="E59" s="74"/>
      <c r="F59" s="74"/>
      <c r="G59" s="74"/>
      <c r="H59" s="75"/>
      <c r="I59" s="74"/>
      <c r="J59" s="74"/>
      <c r="K59" s="74"/>
      <c r="L59" s="75"/>
      <c r="M59" s="74"/>
      <c r="N59" s="74"/>
      <c r="O59" s="74"/>
      <c r="P59" s="75"/>
      <c r="Q59" s="74"/>
      <c r="R59" s="74"/>
      <c r="S59" s="74"/>
      <c r="T59" s="75"/>
      <c r="U59" s="75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</row>
    <row r="60" spans="1:39" s="44" customFormat="1" ht="50.1" customHeight="1">
      <c r="A60" s="98">
        <f>+A58+1</f>
        <v>29</v>
      </c>
      <c r="B60" s="45" t="s">
        <v>107</v>
      </c>
      <c r="C60" s="104" t="s">
        <v>127</v>
      </c>
      <c r="D60" s="46" t="s">
        <v>153</v>
      </c>
      <c r="E60" s="73"/>
      <c r="F60" s="73"/>
      <c r="G60" s="73"/>
      <c r="H60" s="76"/>
      <c r="I60" s="73"/>
      <c r="J60" s="73"/>
      <c r="K60" s="73"/>
      <c r="L60" s="76"/>
      <c r="M60" s="73"/>
      <c r="N60" s="73"/>
      <c r="O60" s="73"/>
      <c r="P60" s="76"/>
      <c r="Q60" s="73"/>
      <c r="R60" s="73"/>
      <c r="S60" s="73"/>
      <c r="T60" s="76"/>
      <c r="U60" s="78">
        <v>27</v>
      </c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</row>
    <row r="61" spans="1:39" s="5" customFormat="1" ht="5.0999999999999996" customHeight="1">
      <c r="A61" s="101"/>
      <c r="B61" s="84"/>
      <c r="C61" s="54"/>
      <c r="D61" s="43"/>
      <c r="E61" s="74"/>
      <c r="F61" s="74"/>
      <c r="G61" s="74"/>
      <c r="H61" s="75"/>
      <c r="I61" s="74"/>
      <c r="J61" s="74"/>
      <c r="K61" s="74"/>
      <c r="L61" s="75"/>
      <c r="M61" s="74"/>
      <c r="N61" s="74"/>
      <c r="O61" s="74"/>
      <c r="P61" s="75"/>
      <c r="Q61" s="74"/>
      <c r="R61" s="74"/>
      <c r="S61" s="74"/>
      <c r="T61" s="75"/>
      <c r="U61" s="75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</row>
    <row r="62" spans="1:39" s="44" customFormat="1" ht="50.1" customHeight="1">
      <c r="A62" s="98">
        <f>+A60+1</f>
        <v>30</v>
      </c>
      <c r="B62" s="45" t="s">
        <v>107</v>
      </c>
      <c r="C62" s="104" t="s">
        <v>128</v>
      </c>
      <c r="D62" s="46" t="s">
        <v>153</v>
      </c>
      <c r="E62" s="73"/>
      <c r="F62" s="73"/>
      <c r="G62" s="73"/>
      <c r="H62" s="76"/>
      <c r="I62" s="73"/>
      <c r="J62" s="73"/>
      <c r="K62" s="73"/>
      <c r="L62" s="76"/>
      <c r="M62" s="73"/>
      <c r="N62" s="73"/>
      <c r="O62" s="73"/>
      <c r="P62" s="76"/>
      <c r="Q62" s="73"/>
      <c r="R62" s="73"/>
      <c r="S62" s="73"/>
      <c r="T62" s="76"/>
      <c r="U62" s="78">
        <v>82</v>
      </c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</row>
    <row r="63" spans="1:39" s="5" customFormat="1" ht="5.0999999999999996" customHeight="1">
      <c r="A63" s="101"/>
      <c r="B63" s="84"/>
      <c r="C63" s="54"/>
      <c r="D63" s="43"/>
      <c r="E63" s="74"/>
      <c r="F63" s="74"/>
      <c r="G63" s="74"/>
      <c r="H63" s="75"/>
      <c r="I63" s="74"/>
      <c r="J63" s="74"/>
      <c r="K63" s="74"/>
      <c r="L63" s="75"/>
      <c r="M63" s="74"/>
      <c r="N63" s="74"/>
      <c r="O63" s="74"/>
      <c r="P63" s="75"/>
      <c r="Q63" s="74"/>
      <c r="R63" s="74"/>
      <c r="S63" s="74"/>
      <c r="T63" s="75"/>
      <c r="U63" s="75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</row>
    <row r="64" spans="1:39" s="44" customFormat="1" ht="50.1" customHeight="1">
      <c r="A64" s="98">
        <f>+A62+1</f>
        <v>31</v>
      </c>
      <c r="B64" s="45" t="s">
        <v>108</v>
      </c>
      <c r="C64" s="104" t="s">
        <v>129</v>
      </c>
      <c r="D64" s="46" t="s">
        <v>153</v>
      </c>
      <c r="E64" s="73"/>
      <c r="F64" s="73"/>
      <c r="G64" s="73"/>
      <c r="H64" s="76"/>
      <c r="I64" s="73"/>
      <c r="J64" s="73"/>
      <c r="K64" s="73"/>
      <c r="L64" s="76"/>
      <c r="M64" s="73"/>
      <c r="N64" s="73"/>
      <c r="O64" s="73"/>
      <c r="P64" s="76"/>
      <c r="Q64" s="73"/>
      <c r="R64" s="73"/>
      <c r="S64" s="73"/>
      <c r="T64" s="76"/>
      <c r="U64" s="78">
        <v>100</v>
      </c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</row>
    <row r="65" spans="1:39" ht="5.0999999999999996" customHeight="1">
      <c r="A65" s="101"/>
      <c r="B65" s="84"/>
      <c r="C65" s="54"/>
      <c r="D65" s="43"/>
      <c r="E65" s="74"/>
      <c r="F65" s="74"/>
      <c r="G65" s="74"/>
      <c r="H65" s="75"/>
      <c r="I65" s="74"/>
      <c r="J65" s="74"/>
      <c r="K65" s="74"/>
      <c r="L65" s="75"/>
      <c r="M65" s="74"/>
      <c r="N65" s="74"/>
      <c r="O65" s="74"/>
      <c r="P65" s="75"/>
      <c r="Q65" s="74"/>
      <c r="R65" s="74"/>
      <c r="S65" s="74"/>
      <c r="T65" s="75"/>
      <c r="U65" s="75"/>
    </row>
    <row r="66" spans="1:39" s="82" customFormat="1" ht="61.15" customHeight="1">
      <c r="A66" s="98">
        <f>+A64+1</f>
        <v>32</v>
      </c>
      <c r="B66" s="45" t="s">
        <v>109</v>
      </c>
      <c r="C66" s="45" t="s">
        <v>137</v>
      </c>
      <c r="D66" s="46" t="s">
        <v>153</v>
      </c>
      <c r="E66" s="73"/>
      <c r="F66" s="73"/>
      <c r="G66" s="73"/>
      <c r="H66" s="76"/>
      <c r="I66" s="73"/>
      <c r="J66" s="73"/>
      <c r="K66" s="73"/>
      <c r="L66" s="76"/>
      <c r="M66" s="73"/>
      <c r="N66" s="73"/>
      <c r="O66" s="73"/>
      <c r="P66" s="76"/>
      <c r="Q66" s="73"/>
      <c r="R66" s="73"/>
      <c r="S66" s="73"/>
      <c r="T66" s="76"/>
      <c r="U66" s="78">
        <v>24</v>
      </c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</row>
    <row r="67" spans="1:39" ht="5.0999999999999996" customHeight="1">
      <c r="A67" s="101"/>
      <c r="B67" s="84"/>
      <c r="C67" s="54"/>
      <c r="D67" s="43"/>
      <c r="E67" s="74"/>
      <c r="F67" s="74"/>
      <c r="G67" s="74"/>
      <c r="H67" s="75"/>
      <c r="I67" s="74"/>
      <c r="J67" s="74"/>
      <c r="K67" s="74"/>
      <c r="L67" s="75"/>
      <c r="M67" s="74"/>
      <c r="N67" s="74"/>
      <c r="O67" s="74"/>
      <c r="P67" s="75"/>
      <c r="Q67" s="74"/>
      <c r="R67" s="74"/>
      <c r="S67" s="74"/>
      <c r="T67" s="75"/>
      <c r="U67" s="75"/>
    </row>
    <row r="68" spans="1:39" s="82" customFormat="1" ht="50.1" customHeight="1">
      <c r="A68" s="98">
        <f>+A66+1</f>
        <v>33</v>
      </c>
      <c r="B68" s="45" t="s">
        <v>110</v>
      </c>
      <c r="C68" s="104" t="s">
        <v>130</v>
      </c>
      <c r="D68" s="46" t="s">
        <v>153</v>
      </c>
      <c r="E68" s="91">
        <v>5</v>
      </c>
      <c r="F68" s="91">
        <v>7</v>
      </c>
      <c r="G68" s="91">
        <v>5</v>
      </c>
      <c r="H68" s="76">
        <f>IF(OR(ISERROR(SUM(E68:G68)/3),E68="",F68="",G68=""),"",SUM(E68:G68)/3)</f>
        <v>5.666666666666667</v>
      </c>
      <c r="I68" s="91">
        <v>5</v>
      </c>
      <c r="J68" s="91">
        <v>6</v>
      </c>
      <c r="K68" s="91">
        <v>7</v>
      </c>
      <c r="L68" s="76">
        <f>IF(OR(ISERROR(SUM(I68:K68)/3),I68="",J68="",K68=""),"",SUM(I68:K68)/3)</f>
        <v>6</v>
      </c>
      <c r="M68" s="91">
        <v>6</v>
      </c>
      <c r="N68" s="91">
        <v>9</v>
      </c>
      <c r="O68" s="91">
        <v>8</v>
      </c>
      <c r="P68" s="76">
        <f>IF(OR(ISERROR(SUM(M68:O68)/3),M68="",N68="",O68=""),"",SUM(M68:O68)/3)</f>
        <v>7.666666666666667</v>
      </c>
      <c r="Q68" s="91">
        <v>5</v>
      </c>
      <c r="R68" s="91">
        <v>8</v>
      </c>
      <c r="S68" s="91">
        <v>5</v>
      </c>
      <c r="T68" s="76">
        <f>IF(OR(ISERROR(SUM(Q68:S68)/3),Q68="",R68="",S68=""),"",SUM(Q68:S68)/3)</f>
        <v>6</v>
      </c>
      <c r="U68" s="76">
        <f>IF(OR(ISERROR((T68+P68+L68+H68)/4),H68="",L68="",P68="",T68=""),"",(T68+P68+L68+H68)/4)</f>
        <v>6.3333333333333339</v>
      </c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</row>
    <row r="69" spans="1:39" ht="5.0999999999999996" customHeight="1">
      <c r="A69" s="101"/>
      <c r="B69" s="84"/>
      <c r="C69" s="54"/>
      <c r="D69" s="43"/>
      <c r="E69" s="74"/>
      <c r="F69" s="74"/>
      <c r="G69" s="74"/>
      <c r="H69" s="75"/>
      <c r="I69" s="74"/>
      <c r="J69" s="74"/>
      <c r="K69" s="74"/>
      <c r="L69" s="75"/>
      <c r="M69" s="74"/>
      <c r="N69" s="74"/>
      <c r="O69" s="74"/>
      <c r="P69" s="75"/>
      <c r="Q69" s="74"/>
      <c r="R69" s="74"/>
      <c r="S69" s="74"/>
      <c r="T69" s="75"/>
      <c r="U69" s="75"/>
    </row>
    <row r="70" spans="1:39" s="82" customFormat="1" ht="50.1" customHeight="1">
      <c r="A70" s="98">
        <f>+A68+1</f>
        <v>34</v>
      </c>
      <c r="B70" s="45" t="s">
        <v>111</v>
      </c>
      <c r="C70" s="45" t="s">
        <v>136</v>
      </c>
      <c r="D70" s="46" t="s">
        <v>153</v>
      </c>
      <c r="E70" s="91">
        <v>11</v>
      </c>
      <c r="F70" s="91">
        <v>11</v>
      </c>
      <c r="G70" s="91">
        <v>11</v>
      </c>
      <c r="H70" s="76">
        <f>IF(OR(ISERROR(SUM(E70:G70)/3),E70="",F70="",G70=""),"",SUM(E70:G70)/3)</f>
        <v>11</v>
      </c>
      <c r="I70" s="91">
        <v>11</v>
      </c>
      <c r="J70" s="91">
        <v>11</v>
      </c>
      <c r="K70" s="91">
        <v>11</v>
      </c>
      <c r="L70" s="76">
        <f>IF(OR(ISERROR(SUM(I70:K70)/3),I70="",J70="",K70=""),"",SUM(I70:K70)/3)</f>
        <v>11</v>
      </c>
      <c r="M70" s="91">
        <v>11</v>
      </c>
      <c r="N70" s="91">
        <v>11</v>
      </c>
      <c r="O70" s="91">
        <v>11</v>
      </c>
      <c r="P70" s="76">
        <f>IF(OR(ISERROR(SUM(M70:O70)/3),M70="",N70="",O70=""),"",SUM(M70:O70)/3)</f>
        <v>11</v>
      </c>
      <c r="Q70" s="91">
        <v>11</v>
      </c>
      <c r="R70" s="91">
        <v>11</v>
      </c>
      <c r="S70" s="91">
        <v>11</v>
      </c>
      <c r="T70" s="76">
        <f>IF(OR(ISERROR(SUM(Q70:S70)/3),Q70="",R70="",S70=""),"",SUM(Q70:S70)/3)</f>
        <v>11</v>
      </c>
      <c r="U70" s="76">
        <f>IF(OR(ISERROR((T70+P70+L70+H70)/4),H70="",L70="",P70="",T70=""),"",(T70+P70+L70+H70)/4)</f>
        <v>11</v>
      </c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</row>
    <row r="71" spans="1:39" ht="5.0999999999999996" customHeight="1">
      <c r="A71" s="101"/>
      <c r="B71" s="84"/>
      <c r="C71" s="54"/>
      <c r="D71" s="43"/>
      <c r="E71" s="74"/>
      <c r="F71" s="74"/>
      <c r="G71" s="74"/>
      <c r="H71" s="75"/>
      <c r="I71" s="74"/>
      <c r="J71" s="74"/>
      <c r="K71" s="74"/>
      <c r="L71" s="75"/>
      <c r="M71" s="74"/>
      <c r="N71" s="74"/>
      <c r="O71" s="74"/>
      <c r="P71" s="75"/>
      <c r="Q71" s="74"/>
      <c r="R71" s="74"/>
      <c r="S71" s="74"/>
      <c r="T71" s="75"/>
      <c r="U71" s="75"/>
    </row>
    <row r="72" spans="1:39" s="82" customFormat="1" ht="50.1" customHeight="1">
      <c r="A72" s="98">
        <f>+A70+1</f>
        <v>35</v>
      </c>
      <c r="B72" s="45" t="s">
        <v>112</v>
      </c>
      <c r="C72" s="45" t="s">
        <v>131</v>
      </c>
      <c r="D72" s="46" t="s">
        <v>153</v>
      </c>
      <c r="E72" s="91">
        <v>11</v>
      </c>
      <c r="F72" s="91">
        <v>11</v>
      </c>
      <c r="G72" s="91">
        <v>11</v>
      </c>
      <c r="H72" s="76">
        <f>IF(OR(ISERROR(SUM(E72:G72)/3),E72="",F72="",G72=""),"",SUM(E72:G72)/3)</f>
        <v>11</v>
      </c>
      <c r="I72" s="91">
        <v>11</v>
      </c>
      <c r="J72" s="91">
        <v>11</v>
      </c>
      <c r="K72" s="91">
        <v>11</v>
      </c>
      <c r="L72" s="76">
        <f>IF(OR(ISERROR(SUM(I72:K72)/3),I72="",J72="",K72=""),"",SUM(I72:K72)/3)</f>
        <v>11</v>
      </c>
      <c r="M72" s="91">
        <v>11</v>
      </c>
      <c r="N72" s="91">
        <v>11</v>
      </c>
      <c r="O72" s="91">
        <v>11</v>
      </c>
      <c r="P72" s="76">
        <f>IF(OR(ISERROR(SUM(M72:O72)/3),M72="",N72="",O72=""),"",SUM(M72:O72)/3)</f>
        <v>11</v>
      </c>
      <c r="Q72" s="91">
        <v>11</v>
      </c>
      <c r="R72" s="91">
        <v>11</v>
      </c>
      <c r="S72" s="91">
        <v>11</v>
      </c>
      <c r="T72" s="76">
        <f>IF(OR(ISERROR(SUM(Q72:S72)/3),Q72="",R72="",S72=""),"",SUM(Q72:S72)/3)</f>
        <v>11</v>
      </c>
      <c r="U72" s="76">
        <f>IF(OR(ISERROR((T72+P72+L72+H72)/4),H72="",L72="",P72="",T72=""),"",(T72+P72+L72+H72)/4)</f>
        <v>11</v>
      </c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</row>
    <row r="73" spans="1:39" ht="5.0999999999999996" customHeight="1">
      <c r="A73" s="101"/>
      <c r="B73" s="84"/>
      <c r="C73" s="54"/>
      <c r="D73" s="43"/>
      <c r="E73" s="74"/>
      <c r="F73" s="74"/>
      <c r="G73" s="74"/>
      <c r="H73" s="75"/>
      <c r="I73" s="74"/>
      <c r="J73" s="74"/>
      <c r="K73" s="74"/>
      <c r="L73" s="75"/>
      <c r="M73" s="74"/>
      <c r="N73" s="74"/>
      <c r="O73" s="74"/>
      <c r="P73" s="75"/>
      <c r="Q73" s="74"/>
      <c r="R73" s="74"/>
      <c r="S73" s="74"/>
      <c r="T73" s="75"/>
      <c r="U73" s="75"/>
    </row>
    <row r="74" spans="1:39" s="82" customFormat="1" ht="83.45" customHeight="1">
      <c r="A74" s="98">
        <f>+A72+1</f>
        <v>36</v>
      </c>
      <c r="B74" s="45" t="s">
        <v>113</v>
      </c>
      <c r="C74" s="45" t="s">
        <v>132</v>
      </c>
      <c r="D74" s="46" t="s">
        <v>153</v>
      </c>
      <c r="E74" s="91">
        <v>101</v>
      </c>
      <c r="F74" s="91">
        <v>130</v>
      </c>
      <c r="G74" s="91">
        <v>113</v>
      </c>
      <c r="H74" s="76">
        <f>IF(OR(ISERROR(SUM(E74:G74)/3),E74="",F74="",G74=""),"",SUM(E74:G74)/3)</f>
        <v>114.66666666666667</v>
      </c>
      <c r="I74" s="91">
        <v>126</v>
      </c>
      <c r="J74" s="91">
        <v>118</v>
      </c>
      <c r="K74" s="91">
        <v>113</v>
      </c>
      <c r="L74" s="76">
        <f>IF(OR(ISERROR(SUM(I74:K74)/3),I74="",J74="",K74=""),"",SUM(I74:K74)/3)</f>
        <v>119</v>
      </c>
      <c r="M74" s="91">
        <v>105</v>
      </c>
      <c r="N74" s="91">
        <v>128</v>
      </c>
      <c r="O74" s="91">
        <v>142</v>
      </c>
      <c r="P74" s="76">
        <f>IF(OR(ISERROR(SUM(M74:O74)/3),M74="",N74="",O74=""),"",SUM(M74:O74)/3)</f>
        <v>125</v>
      </c>
      <c r="Q74" s="91">
        <v>111</v>
      </c>
      <c r="R74" s="91">
        <v>105</v>
      </c>
      <c r="S74" s="91">
        <v>102</v>
      </c>
      <c r="T74" s="76">
        <f>IF(OR(ISERROR(SUM(Q74:S74)/3),Q74="",R74="",S74=""),"",SUM(Q74:S74)/3)</f>
        <v>106</v>
      </c>
      <c r="U74" s="76">
        <f>IF(OR(ISERROR((T74+P74+L74+H74)/4),H74="",L74="",P74="",T74=""),"",(T74+P74+L74+H74)/4)</f>
        <v>116.16666666666667</v>
      </c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</row>
    <row r="75" spans="1:39" ht="5.0999999999999996" customHeight="1">
      <c r="A75" s="101"/>
      <c r="B75" s="85"/>
      <c r="C75" s="6"/>
      <c r="D75" s="43"/>
      <c r="E75" s="6"/>
      <c r="F75" s="6"/>
      <c r="G75" s="6"/>
      <c r="H75" s="30"/>
      <c r="I75" s="6"/>
      <c r="J75" s="6"/>
      <c r="K75" s="6"/>
      <c r="L75" s="30"/>
      <c r="M75" s="6"/>
      <c r="N75" s="6"/>
      <c r="O75" s="6"/>
      <c r="P75" s="30"/>
      <c r="Q75" s="6"/>
      <c r="R75" s="6"/>
      <c r="S75" s="6"/>
      <c r="T75" s="30"/>
      <c r="U75" s="30"/>
    </row>
    <row r="76" spans="1:39" s="44" customFormat="1" ht="50.1" customHeight="1">
      <c r="A76" s="98">
        <f>+A74+1</f>
        <v>37</v>
      </c>
      <c r="B76" s="45" t="s">
        <v>114</v>
      </c>
      <c r="C76" s="104" t="s">
        <v>133</v>
      </c>
      <c r="D76" s="46" t="s">
        <v>43</v>
      </c>
      <c r="E76" s="73"/>
      <c r="F76" s="73"/>
      <c r="G76" s="73"/>
      <c r="H76" s="78">
        <f>651935*60%</f>
        <v>391161</v>
      </c>
      <c r="I76" s="73"/>
      <c r="J76" s="73"/>
      <c r="K76" s="73"/>
      <c r="L76" s="78">
        <f>631323*60%</f>
        <v>378793.8</v>
      </c>
      <c r="M76" s="73"/>
      <c r="N76" s="73"/>
      <c r="O76" s="73"/>
      <c r="P76" s="78">
        <v>486149</v>
      </c>
      <c r="Q76" s="73"/>
      <c r="R76" s="73"/>
      <c r="S76" s="73"/>
      <c r="T76" s="78">
        <v>459695</v>
      </c>
      <c r="U76" s="92">
        <f>+(T76+P76+L76+H76)/4</f>
        <v>428949.7</v>
      </c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</row>
    <row r="77" spans="1:39" s="5" customFormat="1" ht="5.0999999999999996" customHeight="1">
      <c r="A77" s="101"/>
      <c r="B77" s="84"/>
      <c r="C77" s="54"/>
      <c r="D77" s="43"/>
      <c r="E77" s="74"/>
      <c r="F77" s="74"/>
      <c r="G77" s="74"/>
      <c r="H77" s="75"/>
      <c r="I77" s="74"/>
      <c r="J77" s="74"/>
      <c r="K77" s="74"/>
      <c r="L77" s="75"/>
      <c r="M77" s="74"/>
      <c r="N77" s="74"/>
      <c r="O77" s="74"/>
      <c r="P77" s="75"/>
      <c r="Q77" s="74"/>
      <c r="R77" s="74"/>
      <c r="S77" s="74"/>
      <c r="T77" s="75"/>
      <c r="U77" s="75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</row>
    <row r="78" spans="1:39" s="44" customFormat="1" ht="50.1" customHeight="1">
      <c r="A78" s="98">
        <f>+A76+1</f>
        <v>38</v>
      </c>
      <c r="B78" s="45" t="s">
        <v>115</v>
      </c>
      <c r="C78" s="104" t="s">
        <v>135</v>
      </c>
      <c r="D78" s="46" t="s">
        <v>43</v>
      </c>
      <c r="E78" s="73"/>
      <c r="F78" s="73"/>
      <c r="G78" s="73"/>
      <c r="H78" s="78">
        <f>233105.09+4169.62+20144.37+338.22+34341.36+2330.24+3621.71+0.5+174.8</f>
        <v>298225.90999999997</v>
      </c>
      <c r="I78" s="73"/>
      <c r="J78" s="73"/>
      <c r="K78" s="73"/>
      <c r="L78" s="78">
        <f>299731.85+4220.58+21005.09+208.08+34291.93+3025.19+3741.81+1+196.4</f>
        <v>366421.93000000005</v>
      </c>
      <c r="M78" s="73"/>
      <c r="N78" s="73"/>
      <c r="O78" s="73"/>
      <c r="P78" s="78">
        <v>589744</v>
      </c>
      <c r="Q78" s="73"/>
      <c r="R78" s="73"/>
      <c r="S78" s="73"/>
      <c r="T78" s="78">
        <v>368559</v>
      </c>
      <c r="U78" s="92">
        <f>+(T78+P78+H78+L78)/4</f>
        <v>405737.70999999996</v>
      </c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</row>
    <row r="79" spans="1:39" s="5" customFormat="1" ht="5.0999999999999996" customHeight="1">
      <c r="A79" s="101"/>
      <c r="B79" s="84"/>
      <c r="C79" s="54"/>
      <c r="D79" s="43"/>
      <c r="E79" s="74"/>
      <c r="F79" s="74"/>
      <c r="G79" s="74"/>
      <c r="H79" s="75"/>
      <c r="I79" s="74"/>
      <c r="J79" s="74"/>
      <c r="K79" s="74"/>
      <c r="L79" s="75"/>
      <c r="M79" s="74"/>
      <c r="N79" s="74"/>
      <c r="O79" s="74"/>
      <c r="P79" s="75"/>
      <c r="Q79" s="74"/>
      <c r="R79" s="74"/>
      <c r="S79" s="74"/>
      <c r="T79" s="75"/>
      <c r="U79" s="75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</row>
    <row r="80" spans="1:39" s="82" customFormat="1" ht="57" customHeight="1">
      <c r="A80" s="98">
        <f>+A78+1</f>
        <v>39</v>
      </c>
      <c r="B80" s="45" t="s">
        <v>116</v>
      </c>
      <c r="C80" s="45" t="s">
        <v>134</v>
      </c>
      <c r="D80" s="46" t="s">
        <v>153</v>
      </c>
      <c r="E80" s="91">
        <v>0</v>
      </c>
      <c r="F80" s="91">
        <v>0</v>
      </c>
      <c r="G80" s="91">
        <v>0</v>
      </c>
      <c r="H80" s="76">
        <f>IF(OR(ISERROR(SUM(E80:G80)/3),E80="",F80="",G80=""),"",SUM(E80:G80)/3)</f>
        <v>0</v>
      </c>
      <c r="I80" s="91">
        <v>0</v>
      </c>
      <c r="J80" s="91">
        <v>0</v>
      </c>
      <c r="K80" s="91">
        <v>0</v>
      </c>
      <c r="L80" s="76">
        <f>IF(OR(ISERROR(SUM(I80:K80)/3),I80="",J80="",K80=""),"",SUM(I80:K80)/3)</f>
        <v>0</v>
      </c>
      <c r="M80" s="91">
        <v>0</v>
      </c>
      <c r="N80" s="91">
        <v>2</v>
      </c>
      <c r="O80" s="91">
        <v>0</v>
      </c>
      <c r="P80" s="76">
        <f>IF(OR(ISERROR(SUM(M80:O80)/3),M80="",N80="",O80=""),"",SUM(M80:O80)/3)</f>
        <v>0.66666666666666663</v>
      </c>
      <c r="Q80" s="91">
        <v>0</v>
      </c>
      <c r="R80" s="91">
        <v>0</v>
      </c>
      <c r="S80" s="91">
        <v>0</v>
      </c>
      <c r="T80" s="76">
        <f>IF(OR(ISERROR(SUM(Q80:S80)/3),Q80="",R80="",S80=""),"",SUM(Q80:S80)/3)</f>
        <v>0</v>
      </c>
      <c r="U80" s="76">
        <f>IF(OR(ISERROR((T80+P80+L80+H80)/4),H80="",L80="",P80="",T80=""),"",(T80+P80+L80+H80)/4)</f>
        <v>0.16666666666666666</v>
      </c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</row>
    <row r="81" spans="2:2">
      <c r="B81" s="86"/>
    </row>
    <row r="82" spans="2:2">
      <c r="B82" s="86"/>
    </row>
    <row r="83" spans="2:2">
      <c r="B83" s="86"/>
    </row>
    <row r="84" spans="2:2">
      <c r="B84" s="86"/>
    </row>
    <row r="85" spans="2:2">
      <c r="B85" s="86"/>
    </row>
    <row r="86" spans="2:2">
      <c r="B86" s="86"/>
    </row>
    <row r="87" spans="2:2">
      <c r="B87" s="86"/>
    </row>
    <row r="88" spans="2:2">
      <c r="B88" s="86"/>
    </row>
    <row r="89" spans="2:2">
      <c r="B89" s="86"/>
    </row>
    <row r="90" spans="2:2">
      <c r="B90" s="86"/>
    </row>
    <row r="91" spans="2:2">
      <c r="B91" s="86"/>
    </row>
    <row r="92" spans="2:2" ht="15">
      <c r="B92" s="41"/>
    </row>
  </sheetData>
  <sheetProtection formatCells="0" formatColumns="0" formatRows="0" insertColumns="0" insertRows="0" insertHyperlinks="0" deleteColumns="0" deleteRows="0" sort="0" autoFilter="0" pivotTables="0"/>
  <mergeCells count="4">
    <mergeCell ref="D1:D2"/>
    <mergeCell ref="B1:B2"/>
    <mergeCell ref="C1:C2"/>
    <mergeCell ref="A1:A2"/>
  </mergeCells>
  <phoneticPr fontId="0" type="noConversion"/>
  <printOptions horizontalCentered="1" verticalCentered="1"/>
  <pageMargins left="0.59055118110236227" right="0.59055118110236227" top="0.78740157480314965" bottom="0.78740157480314965" header="0.31496062992125984" footer="0.31496062992125984"/>
  <pageSetup paperSize="9" scale="85" orientation="landscape" r:id="rId1"/>
  <headerFooter alignWithMargins="0">
    <oddHeader xml:space="preserve">&amp;LWater Supply and Sanitation at the Adriatic Coast III and IV
Institutional Support of Water Supply and Wastewater Utilities
&amp;RViK Performance Indicator Benchmarking System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52"/>
  <sheetViews>
    <sheetView topLeftCell="C1" zoomScale="80" zoomScaleNormal="80" workbookViewId="0">
      <pane xSplit="2" ySplit="2" topLeftCell="F3" activePane="bottomRight" state="frozen"/>
      <selection activeCell="C1" sqref="C1"/>
      <selection pane="topRight" activeCell="E1" sqref="E1"/>
      <selection pane="bottomLeft" activeCell="C3" sqref="C3"/>
      <selection pane="bottomRight" activeCell="F26" sqref="F26"/>
    </sheetView>
  </sheetViews>
  <sheetFormatPr defaultColWidth="11.42578125" defaultRowHeight="12.75"/>
  <cols>
    <col min="1" max="1" width="4.7109375" style="7" customWidth="1"/>
    <col min="2" max="2" width="23" style="7" bestFit="1" customWidth="1"/>
    <col min="3" max="3" width="5.42578125" style="47" customWidth="1"/>
    <col min="4" max="4" width="43.28515625" style="12" customWidth="1"/>
    <col min="5" max="5" width="46.140625" style="12" customWidth="1"/>
    <col min="6" max="6" width="20.28515625" style="13" customWidth="1"/>
    <col min="7" max="8" width="20.7109375" style="7" customWidth="1"/>
    <col min="9" max="13" width="11.7109375" style="13" customWidth="1"/>
    <col min="14" max="38" width="11.42578125" style="15"/>
    <col min="39" max="16384" width="11.42578125" style="7"/>
  </cols>
  <sheetData>
    <row r="1" spans="1:252" s="3" customFormat="1" ht="12.75" customHeight="1">
      <c r="A1" s="129" t="s">
        <v>2</v>
      </c>
      <c r="B1" s="129"/>
      <c r="C1" s="117" t="s">
        <v>2</v>
      </c>
      <c r="D1" s="117" t="s">
        <v>0</v>
      </c>
      <c r="E1" s="117" t="s">
        <v>21</v>
      </c>
      <c r="F1" s="117" t="s">
        <v>155</v>
      </c>
      <c r="G1" s="117" t="s">
        <v>236</v>
      </c>
      <c r="H1" s="136"/>
      <c r="I1" s="135" t="s">
        <v>235</v>
      </c>
      <c r="J1" s="135"/>
      <c r="K1" s="135"/>
      <c r="L1" s="135"/>
      <c r="M1" s="133" t="s">
        <v>169</v>
      </c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252" s="4" customFormat="1" ht="24.95" customHeight="1">
      <c r="A2" s="130"/>
      <c r="B2" s="130"/>
      <c r="C2" s="132"/>
      <c r="D2" s="131"/>
      <c r="E2" s="131"/>
      <c r="F2" s="119"/>
      <c r="G2" s="136"/>
      <c r="H2" s="136"/>
      <c r="I2" s="37" t="str">
        <f>'input data'!$H$2</f>
        <v>I</v>
      </c>
      <c r="J2" s="37" t="str">
        <f>'input data'!$L$2</f>
        <v>II</v>
      </c>
      <c r="K2" s="37" t="str">
        <f>'input data'!$P$2</f>
        <v>III</v>
      </c>
      <c r="L2" s="37" t="str">
        <f>'input data'!$T$2</f>
        <v>IV</v>
      </c>
      <c r="M2" s="134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</row>
    <row r="3" spans="1:252" s="47" customFormat="1" ht="65.25" customHeight="1">
      <c r="A3" s="42"/>
      <c r="B3" s="42" t="s">
        <v>4</v>
      </c>
      <c r="C3" s="57">
        <v>1</v>
      </c>
      <c r="D3" s="45" t="s">
        <v>170</v>
      </c>
      <c r="E3" s="45" t="s">
        <v>48</v>
      </c>
      <c r="F3" s="46" t="s">
        <v>1</v>
      </c>
      <c r="G3" s="120" t="s">
        <v>201</v>
      </c>
      <c r="H3" s="121"/>
      <c r="I3" s="122" t="s">
        <v>233</v>
      </c>
      <c r="J3" s="123"/>
      <c r="K3" s="123"/>
      <c r="L3" s="124"/>
      <c r="M3" s="95">
        <f>IF(OR(ISERROR('input data'!U6/'input data'!U4),'input data'!U6="",'input data'!U4=""),"",'input data'!U6/'input data'!U4)</f>
        <v>0.81818181818181823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</row>
    <row r="4" spans="1:252" s="9" customFormat="1" ht="5.0999999999999996" customHeight="1">
      <c r="A4" s="8"/>
      <c r="B4" s="8"/>
      <c r="C4" s="8"/>
      <c r="D4" s="10"/>
      <c r="E4" s="10"/>
      <c r="F4" s="11"/>
      <c r="G4" s="125"/>
      <c r="H4" s="126"/>
      <c r="I4" s="137"/>
      <c r="J4" s="138"/>
      <c r="K4" s="138"/>
      <c r="L4" s="139"/>
      <c r="M4" s="10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</row>
    <row r="5" spans="1:252" s="9" customFormat="1" ht="46.5" customHeight="1">
      <c r="A5" s="8"/>
      <c r="B5" s="8"/>
      <c r="C5" s="57">
        <f>C3+1</f>
        <v>2</v>
      </c>
      <c r="D5" s="45" t="s">
        <v>171</v>
      </c>
      <c r="E5" s="45" t="s">
        <v>45</v>
      </c>
      <c r="F5" s="46" t="s">
        <v>1</v>
      </c>
      <c r="G5" s="120" t="s">
        <v>203</v>
      </c>
      <c r="H5" s="121"/>
      <c r="I5" s="122" t="s">
        <v>233</v>
      </c>
      <c r="J5" s="123"/>
      <c r="K5" s="123"/>
      <c r="L5" s="124"/>
      <c r="M5" s="95">
        <f>IF(OR(ISERROR('input data'!U10/'input data'!U8),'input data'!U10="",'input data'!U8=""),"",'input data'!U10/'input data'!U8)</f>
        <v>0.20454545454545456</v>
      </c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</row>
    <row r="6" spans="1:252" s="9" customFormat="1" ht="5.0999999999999996" customHeight="1">
      <c r="A6" s="8"/>
      <c r="B6" s="8"/>
      <c r="C6" s="48"/>
      <c r="D6" s="10"/>
      <c r="E6" s="10"/>
      <c r="F6" s="11"/>
      <c r="G6" s="55"/>
      <c r="H6" s="56"/>
      <c r="I6" s="137"/>
      <c r="J6" s="138"/>
      <c r="K6" s="138"/>
      <c r="L6" s="139"/>
      <c r="M6" s="10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</row>
    <row r="7" spans="1:252" s="47" customFormat="1" ht="57.6" customHeight="1">
      <c r="A7" s="42"/>
      <c r="B7" s="42" t="s">
        <v>4</v>
      </c>
      <c r="C7" s="57">
        <f>C5+1</f>
        <v>3</v>
      </c>
      <c r="D7" s="45" t="s">
        <v>172</v>
      </c>
      <c r="E7" s="45" t="s">
        <v>46</v>
      </c>
      <c r="F7" s="46" t="s">
        <v>237</v>
      </c>
      <c r="G7" s="120" t="s">
        <v>202</v>
      </c>
      <c r="H7" s="121"/>
      <c r="I7" s="70">
        <f>IF(OR(ISERROR((('input data'!H12/30)/'input data'!U6)*1000),'input data'!H12="",'input data'!U6=""),"",(('input data'!H12/30)/'input data'!U6)*1000)</f>
        <v>351.16604938271598</v>
      </c>
      <c r="J7" s="70">
        <f>IF(OR(ISERROR((('input data'!L12/30)/'input data'!U6)*1000),'input data'!L12="",'input data'!U6=""),"",(('input data'!L12/30)/'input data'!U6)*1000)</f>
        <v>423.84074074074073</v>
      </c>
      <c r="K7" s="70">
        <f>IF(OR(ISERROR((('input data'!P12/91)/'input data'!U6)*1000),'input data'!P12="",'input data'!U6=""),"",(('input data'!P12/91)/'input data'!U6)*1000)</f>
        <v>182.53011803011802</v>
      </c>
      <c r="L7" s="70">
        <f>IF(OR(ISERROR((('input data'!T12/91)/'input data'!U6)*1000),'input data'!T12="",'input data'!U6=""),"",(('input data'!T12/91)/'input data'!U6)*1000)</f>
        <v>124.75010175010175</v>
      </c>
      <c r="M7" s="70">
        <f>IF(OR(ISERROR((('input data'!U12/91)/'input data'!U6)*1000),'input data'!U12="",'input data'!U6=""),"",(('input data'!U12/91)/'input data'!U6)*1000)</f>
        <v>140.69424094424093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</row>
    <row r="8" spans="1:252" s="9" customFormat="1" ht="5.0999999999999996" customHeight="1">
      <c r="A8" s="8"/>
      <c r="B8" s="8"/>
      <c r="C8" s="8"/>
      <c r="D8" s="10"/>
      <c r="E8" s="10"/>
      <c r="F8" s="11"/>
      <c r="G8" s="125"/>
      <c r="H8" s="126"/>
      <c r="I8" s="48"/>
      <c r="J8" s="49"/>
      <c r="K8" s="49"/>
      <c r="L8" s="49"/>
      <c r="M8" s="49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</row>
    <row r="9" spans="1:252" s="47" customFormat="1" ht="42" customHeight="1">
      <c r="A9" s="42"/>
      <c r="B9" s="42" t="s">
        <v>4</v>
      </c>
      <c r="C9" s="57">
        <f>C7+1</f>
        <v>4</v>
      </c>
      <c r="D9" s="45" t="s">
        <v>173</v>
      </c>
      <c r="E9" s="45" t="s">
        <v>22</v>
      </c>
      <c r="F9" s="46" t="s">
        <v>17</v>
      </c>
      <c r="G9" s="120" t="s">
        <v>204</v>
      </c>
      <c r="H9" s="121"/>
      <c r="I9" s="99">
        <f>IF(OR(ISERROR('input data'!H16/'input data'!H12),'input data'!H16="",'input data'!H12=""),"",'input data'!H16/'input data'!H12)</f>
        <v>0.46055557411023945</v>
      </c>
      <c r="J9" s="99">
        <f>IF(OR(ISERROR('input data'!L16/'input data'!L12),'input data'!L16="",'input data'!L12=""),"",'input data'!L16/'input data'!L12)</f>
        <v>0.48749967230878127</v>
      </c>
      <c r="K9" s="99">
        <f>IF(OR(ISERROR('input data'!P16/'input data'!P12),'input data'!P16="",'input data'!P12=""),"",'input data'!P16/'input data'!P12)</f>
        <v>0.51376605017208266</v>
      </c>
      <c r="L9" s="99">
        <f>IF(OR(ISERROR('input data'!T16/'input data'!T12),'input data'!T16="",'input data'!T12=""),"",'input data'!T16/'input data'!T12)</f>
        <v>0.48279180845059394</v>
      </c>
      <c r="M9" s="70">
        <f>IF(OR(ISERROR('input data'!U16/'input data'!U12), 'input data'!U16="",'input data'!U12=""),"",'input data'!U16/'input data'!U12)</f>
        <v>0.48943259882711393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</row>
    <row r="10" spans="1:252" s="9" customFormat="1" ht="5.0999999999999996" customHeight="1">
      <c r="A10" s="8"/>
      <c r="B10" s="8"/>
      <c r="C10" s="8"/>
      <c r="D10" s="10"/>
      <c r="E10" s="10"/>
      <c r="F10" s="11"/>
      <c r="G10" s="125"/>
      <c r="H10" s="126"/>
      <c r="I10" s="48"/>
      <c r="J10" s="49"/>
      <c r="K10" s="49"/>
      <c r="L10" s="49"/>
      <c r="M10" s="49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</row>
    <row r="11" spans="1:252" s="47" customFormat="1" ht="42" customHeight="1">
      <c r="A11" s="42"/>
      <c r="B11" s="42" t="s">
        <v>3</v>
      </c>
      <c r="C11" s="57">
        <f>C9+1</f>
        <v>5</v>
      </c>
      <c r="D11" s="45" t="s">
        <v>174</v>
      </c>
      <c r="E11" s="45" t="s">
        <v>47</v>
      </c>
      <c r="F11" s="46" t="s">
        <v>237</v>
      </c>
      <c r="G11" s="120" t="s">
        <v>206</v>
      </c>
      <c r="H11" s="121"/>
      <c r="I11" s="70">
        <f>IF(OR(ISERROR((('input data'!H18/30) / 'input data'!U6)*1000),'input data'!H18="",'input data'!U6=""),"",(('input data'!H18/30) / 'input data'!U6)*1000)</f>
        <v>148.52160493827162</v>
      </c>
      <c r="J11" s="70">
        <f>IF(OR(ISERROR((('input data'!L18/30) / 'input data'!U6)*1000),'input data'!L18="",'input data'!U6=""),"",(('input data'!L18/30) / 'input data'!U6)*1000)</f>
        <v>190.77283950617283</v>
      </c>
      <c r="K11" s="70">
        <f>IF(OR(ISERROR((('input data'!P18/91) / 'input data'!U6)*1000),'input data'!P18="",'input data'!U6=""),"",(('input data'!P18/91) / 'input data'!U6)*1000)</f>
        <v>97.027879527879534</v>
      </c>
      <c r="L11" s="70">
        <f>IF(OR(ISERROR((('input data'!T18/91) / 'input data'!U6)*1000),'input data'!T18="",'input data'!U6=""),"",(('input data'!T18/91) / 'input data'!U6)*1000)</f>
        <v>50.284900284900289</v>
      </c>
      <c r="M11" s="70">
        <f>IF(OR(ISERROR((('input data'!U18/91) / 'input data'!U6)*1000),'input data'!U18="",'input data'!U6=""),"",(('input data'!U18/91) / 'input data'!U6)*1000)</f>
        <v>64.792022792022792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</row>
    <row r="12" spans="1:252" s="9" customFormat="1" ht="5.0999999999999996" customHeight="1">
      <c r="A12" s="8"/>
      <c r="B12" s="8"/>
      <c r="C12" s="8"/>
      <c r="D12" s="10"/>
      <c r="E12" s="10"/>
      <c r="F12" s="11"/>
      <c r="G12" s="125"/>
      <c r="H12" s="126"/>
      <c r="I12" s="79"/>
      <c r="J12" s="80"/>
      <c r="K12" s="80"/>
      <c r="L12" s="80"/>
      <c r="M12" s="80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</row>
    <row r="13" spans="1:252" s="47" customFormat="1" ht="42" customHeight="1">
      <c r="A13" s="42"/>
      <c r="B13" s="42" t="s">
        <v>7</v>
      </c>
      <c r="C13" s="57">
        <f>C11+1</f>
        <v>6</v>
      </c>
      <c r="D13" s="45" t="s">
        <v>175</v>
      </c>
      <c r="E13" s="45" t="s">
        <v>23</v>
      </c>
      <c r="F13" s="46" t="s">
        <v>237</v>
      </c>
      <c r="G13" s="120" t="s">
        <v>205</v>
      </c>
      <c r="H13" s="121"/>
      <c r="I13" s="70">
        <f>IF(OR(ISERROR((('input data'!H20/30) / 'input data'!U22)*1000), 'input data'!H20="",'input data'!U22=""), "",(('input data'!H20/30) / 'input data'!U22)*1000)</f>
        <v>37.130401234567906</v>
      </c>
      <c r="J13" s="70">
        <f>IF(OR(ISERROR((('input data'!L20/91) / 'input data'!U22)*1000), 'input data'!L20="",'input data'!U22=""), "",(('input data'!L20/91) / 'input data'!U22)*1000)</f>
        <v>15.723036223036225</v>
      </c>
      <c r="K13" s="70">
        <f>IF(OR(ISERROR((('input data'!P20/91) / 'input data'!U22)*1000), 'input data'!P20="",'input data'!U22=""), "",(('input data'!P20/91) / 'input data'!U22)*1000)</f>
        <v>24.256969881969884</v>
      </c>
      <c r="L13" s="70">
        <f>IF(OR(ISERROR((('input data'!T20/91) / 'input data'!U22)*1000), 'input data'!T20="",'input data'!U22=""), "",(('input data'!T20/91) / 'input data'!U22)*1000)</f>
        <v>12.571225071225072</v>
      </c>
      <c r="M13" s="70">
        <f>IF(OR(ISERROR((('input data'!U20/91) / 'input data'!U22)*1000), 'input data'!U20="",'input data'!U22=""), "",(('input data'!U20/91) / 'input data'!U22)*1000)</f>
        <v>16.198005698005698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</row>
    <row r="14" spans="1:252" s="9" customFormat="1" ht="5.0999999999999996" customHeight="1">
      <c r="A14" s="8"/>
      <c r="B14" s="8"/>
      <c r="C14" s="8"/>
      <c r="D14" s="10"/>
      <c r="E14" s="10"/>
      <c r="F14" s="11"/>
      <c r="G14" s="125"/>
      <c r="H14" s="126"/>
      <c r="I14" s="79"/>
      <c r="J14" s="80"/>
      <c r="K14" s="80"/>
      <c r="L14" s="80"/>
      <c r="M14" s="80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</row>
    <row r="15" spans="1:252" s="47" customFormat="1" ht="42" customHeight="1">
      <c r="A15" s="42"/>
      <c r="B15" s="42" t="s">
        <v>5</v>
      </c>
      <c r="C15" s="57">
        <f>C13+1</f>
        <v>7</v>
      </c>
      <c r="D15" s="45" t="s">
        <v>176</v>
      </c>
      <c r="E15" s="45" t="s">
        <v>49</v>
      </c>
      <c r="F15" s="46" t="s">
        <v>1</v>
      </c>
      <c r="G15" s="120" t="s">
        <v>240</v>
      </c>
      <c r="H15" s="121"/>
      <c r="I15" s="70">
        <f>IF(OR(ISERROR((('input data'!H12 - 'input data'!H18) / 'input data'!H12) * 100), 'input data'!H12="",'input data'!H18=""),"",(('input data'!H12 - 'input data'!H18) / 'input data'!H12) * 100)</f>
        <v>57.706160604265499</v>
      </c>
      <c r="J15" s="70">
        <f>IF(OR(ISERROR((('input data'!L12 - 'input data'!L18) / 'input data'!L12) * 100), 'input data'!L12="",'input data'!L18=""),"",(('input data'!L12 - 'input data'!L18) / 'input data'!L12) * 100)</f>
        <v>54.989499316945867</v>
      </c>
      <c r="K15" s="70">
        <f>IF(OR(ISERROR((('input data'!P12 - 'input data'!P18) / 'input data'!P12) * 100), 'input data'!P12="",'input data'!P18=""),"",(('input data'!P12 - 'input data'!P18) / 'input data'!P12) * 100)</f>
        <v>46.842811161788859</v>
      </c>
      <c r="L15" s="70">
        <f>IF(OR(ISERROR((('input data'!T12 - 'input data'!T18) / 'input data'!T12) * 100), 'input data'!T12="",'input data'!T18=""),"",(('input data'!T12 - 'input data'!T18) / 'input data'!T12) * 100)</f>
        <v>59.691495574383943</v>
      </c>
      <c r="M15" s="70">
        <f>IF(OR(ISERROR((('input data'!U12 - 'input data'!U18) / 'input data'!U12) * 100), 'input data'!U12="",'input data'!U18=""),"",(('input data'!U12 - 'input data'!U18) / 'input data'!U12) * 100)</f>
        <v>53.948347596046411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</row>
    <row r="16" spans="1:252" s="9" customFormat="1" ht="5.0999999999999996" customHeight="1">
      <c r="A16" s="8"/>
      <c r="B16" s="8"/>
      <c r="C16" s="8"/>
      <c r="D16" s="103"/>
      <c r="E16" s="10"/>
      <c r="F16" s="11"/>
      <c r="G16" s="125"/>
      <c r="H16" s="126"/>
      <c r="I16" s="79"/>
      <c r="J16" s="80"/>
      <c r="K16" s="80"/>
      <c r="L16" s="80"/>
      <c r="M16" s="80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</row>
    <row r="17" spans="1:252" s="47" customFormat="1" ht="42" customHeight="1">
      <c r="A17" s="42"/>
      <c r="B17" s="42" t="s">
        <v>5</v>
      </c>
      <c r="C17" s="57">
        <f>C15+1</f>
        <v>8</v>
      </c>
      <c r="D17" s="45" t="s">
        <v>176</v>
      </c>
      <c r="E17" s="45" t="s">
        <v>24</v>
      </c>
      <c r="F17" s="46" t="s">
        <v>238</v>
      </c>
      <c r="G17" s="120" t="s">
        <v>207</v>
      </c>
      <c r="H17" s="121"/>
      <c r="I17" s="70">
        <f>IF(OR(ISERROR((('input data'!H12 - 'input data'!H18) ) / 'input data'!U14),'input data'!H12="",'input data'!H18=""),"",(('input data'!H12 - 'input data'!H18) ) / 'input data'!U14)</f>
        <v>20.442368765178401</v>
      </c>
      <c r="J17" s="70">
        <f>IF(OR(ISERROR((('input data'!L12 - 'input data'!L18) ) / 'input data'!U14),'input data'!L12="",'input data'!L18=""),"",(('input data'!L12 - 'input data'!L18) ) / 'input data'!U14)</f>
        <v>23.51142661435955</v>
      </c>
      <c r="K17" s="70">
        <f>IF(OR(ISERROR((('input data'!P12 - 'input data'!P18) ) / 'input data'!U14),'input data'!P12="",'input data'!P18=""),"",(('input data'!P12 - 'input data'!P18) ) / 'input data'!U14)</f>
        <v>26.163397471822652</v>
      </c>
      <c r="L17" s="70" t="str">
        <f>IF(OR(ISERROR((('input data'!Q12 - 'input data'!Q18) ) / 'input data'!V14),'input data'!Q12="",'input data'!Q18=""),"",(('input data'!Q12 - 'input data'!Q18) ) / 'input data'!V14)</f>
        <v/>
      </c>
      <c r="M17" s="70">
        <f>IF(OR(ISERROR((('input data'!U12 - 'input data'!U18) ) / 'input data'!U14),'input data'!U12="",'input data'!U18=""),"",(('input data'!U12 - 'input data'!U18) ) / 'input data'!U14)</f>
        <v>23.225823525748801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</row>
    <row r="18" spans="1:252" s="9" customFormat="1" ht="5.0999999999999996" customHeight="1">
      <c r="A18" s="8"/>
      <c r="B18" s="8"/>
      <c r="C18" s="8"/>
      <c r="D18" s="103"/>
      <c r="E18" s="10"/>
      <c r="F18" s="11"/>
      <c r="G18" s="125"/>
      <c r="H18" s="126"/>
      <c r="I18" s="79"/>
      <c r="J18" s="80"/>
      <c r="K18" s="80"/>
      <c r="L18" s="80"/>
      <c r="M18" s="80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</row>
    <row r="19" spans="1:252" s="47" customFormat="1" ht="42" customHeight="1">
      <c r="A19" s="42"/>
      <c r="B19" s="42" t="s">
        <v>6</v>
      </c>
      <c r="C19" s="57">
        <f>C17+1</f>
        <v>9</v>
      </c>
      <c r="D19" s="45" t="s">
        <v>176</v>
      </c>
      <c r="E19" s="45" t="s">
        <v>25</v>
      </c>
      <c r="F19" s="46" t="s">
        <v>239</v>
      </c>
      <c r="G19" s="120" t="s">
        <v>208</v>
      </c>
      <c r="H19" s="121"/>
      <c r="I19" s="70">
        <f>IF(OR(ISERROR((('input data'!H12 - 'input data'!H18) ) / 'input data'!U24),'input data'!H12="",'input data'!H18="",'input data'!U24=""),"",(('input data'!H12 - 'input data'!H18) ) / 'input data'!U24)</f>
        <v>593.10569105691047</v>
      </c>
      <c r="J19" s="70">
        <f>IF(OR(ISERROR((('input data'!L12 - 'input data'!L18) ) / 'input data'!U24),'input data'!L12="",'input data'!L18="",'input data'!U24=""),"",(('input data'!L12 - 'input data'!L18) ) / 'input data'!U24)</f>
        <v>682.14995483288169</v>
      </c>
      <c r="K19" s="70">
        <f>IF(OR(ISERROR((('input data'!P12 - 'input data'!P18) ) / 'input data'!U24),'input data'!P12="",'input data'!P18="",'input data'!U24=""),"",(('input data'!P12 - 'input data'!P18) ) / 'input data'!U24)</f>
        <v>759.09304426377594</v>
      </c>
      <c r="L19" s="70">
        <f>IF(OR(ISERROR((('input data'!T12 - 'input data'!T18) ) / 'input data'!U24),'input data'!T12="",'input data'!T18="",'input data'!U24=""),"",(('input data'!T12 - 'input data'!T18) ) / 'input data'!U24)</f>
        <v>661.10569105691047</v>
      </c>
      <c r="M19" s="70">
        <f>IF(OR(ISERROR((('input data'!U12 - 'input data'!U18) ) / 'input data'!U24),'input data'!U12="",'input data'!U18="",'input data'!U24=""),"",(('input data'!U12 - 'input data'!U18) ) / 'input data'!U24)</f>
        <v>673.86359530261961</v>
      </c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</row>
    <row r="20" spans="1:252" s="9" customFormat="1" ht="5.0999999999999996" customHeight="1">
      <c r="A20" s="8"/>
      <c r="B20" s="8"/>
      <c r="C20" s="8"/>
      <c r="D20" s="10"/>
      <c r="E20" s="10"/>
      <c r="F20" s="11"/>
      <c r="G20" s="125"/>
      <c r="H20" s="126"/>
      <c r="I20" s="79"/>
      <c r="J20" s="80"/>
      <c r="K20" s="80"/>
      <c r="L20" s="80"/>
      <c r="M20" s="80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</row>
    <row r="21" spans="1:252" s="47" customFormat="1" ht="42" customHeight="1">
      <c r="A21" s="42"/>
      <c r="B21" s="42" t="s">
        <v>6</v>
      </c>
      <c r="C21" s="57">
        <f>C19+1</f>
        <v>10</v>
      </c>
      <c r="D21" s="45" t="s">
        <v>177</v>
      </c>
      <c r="E21" s="45" t="s">
        <v>50</v>
      </c>
      <c r="F21" s="46" t="s">
        <v>1</v>
      </c>
      <c r="G21" s="120" t="s">
        <v>209</v>
      </c>
      <c r="H21" s="121"/>
      <c r="I21" s="122" t="s">
        <v>233</v>
      </c>
      <c r="J21" s="123"/>
      <c r="K21" s="123"/>
      <c r="L21" s="124"/>
      <c r="M21" s="70">
        <f>IF(OR(ISERROR(('input data'!U26/'input data'!U14) * 100),'input data'!U14="",'input data'!U26=""),"",('input data'!U26/'input data'!U14) * 100)</f>
        <v>100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</row>
    <row r="22" spans="1:252" s="9" customFormat="1" ht="5.0999999999999996" customHeight="1">
      <c r="A22" s="8"/>
      <c r="B22" s="8"/>
      <c r="C22" s="8"/>
      <c r="D22" s="10"/>
      <c r="E22" s="10"/>
      <c r="F22" s="11"/>
      <c r="G22" s="125"/>
      <c r="H22" s="126"/>
      <c r="I22" s="48"/>
      <c r="J22" s="49"/>
      <c r="K22" s="49"/>
      <c r="L22" s="49"/>
      <c r="M22" s="4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</row>
    <row r="23" spans="1:252" s="47" customFormat="1" ht="42" customHeight="1">
      <c r="A23" s="42"/>
      <c r="B23" s="42" t="s">
        <v>6</v>
      </c>
      <c r="C23" s="57">
        <f>C21+1</f>
        <v>11</v>
      </c>
      <c r="D23" s="45" t="s">
        <v>178</v>
      </c>
      <c r="E23" s="45" t="s">
        <v>26</v>
      </c>
      <c r="F23" s="46" t="s">
        <v>15</v>
      </c>
      <c r="G23" s="120" t="s">
        <v>210</v>
      </c>
      <c r="H23" s="121"/>
      <c r="I23" s="122" t="s">
        <v>233</v>
      </c>
      <c r="J23" s="123"/>
      <c r="K23" s="123"/>
      <c r="L23" s="124"/>
      <c r="M23" s="70">
        <f>IF(OR(ISERROR('input data'!U28/'input data'!U18),'input data'!U18="",'input data'!U28=""),"",'input data'!U28/'input data'!U18)</f>
        <v>9.8070010647386212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</row>
    <row r="24" spans="1:252" s="9" customFormat="1" ht="5.0999999999999996" customHeight="1">
      <c r="A24" s="8"/>
      <c r="B24" s="8"/>
      <c r="C24" s="8"/>
      <c r="D24" s="10"/>
      <c r="E24" s="10"/>
      <c r="F24" s="11"/>
      <c r="G24" s="125"/>
      <c r="H24" s="126"/>
      <c r="I24" s="48"/>
      <c r="J24" s="49"/>
      <c r="K24" s="49"/>
      <c r="L24" s="49"/>
      <c r="M24" s="80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</row>
    <row r="25" spans="1:252" s="9" customFormat="1" ht="45" customHeight="1">
      <c r="A25" s="8"/>
      <c r="B25" s="8"/>
      <c r="C25" s="57">
        <f>C23+1</f>
        <v>12</v>
      </c>
      <c r="D25" s="45" t="s">
        <v>179</v>
      </c>
      <c r="E25" s="45" t="s">
        <v>27</v>
      </c>
      <c r="F25" s="46" t="s">
        <v>249</v>
      </c>
      <c r="G25" s="120" t="s">
        <v>211</v>
      </c>
      <c r="H25" s="121"/>
      <c r="I25" s="122" t="s">
        <v>233</v>
      </c>
      <c r="J25" s="123"/>
      <c r="K25" s="123"/>
      <c r="L25" s="124"/>
      <c r="M25" s="70">
        <f>IF(OR(ISERROR('input data'!U30/'input data'!U18),'input data'!U30="",'input data'!U18=""),"",'input data'!U30/'input data'!U18)</f>
        <v>0.3033093112805762</v>
      </c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</row>
    <row r="26" spans="1:252" s="9" customFormat="1" ht="5.0999999999999996" customHeight="1">
      <c r="A26" s="8"/>
      <c r="B26" s="8"/>
      <c r="C26" s="8"/>
      <c r="D26" s="10"/>
      <c r="E26" s="10"/>
      <c r="F26" s="11"/>
      <c r="G26" s="125"/>
      <c r="H26" s="126"/>
      <c r="I26" s="48"/>
      <c r="J26" s="49"/>
      <c r="K26" s="49"/>
      <c r="L26" s="49"/>
      <c r="M26" s="80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</row>
    <row r="27" spans="1:252" s="47" customFormat="1" ht="54.95" customHeight="1">
      <c r="A27" s="42"/>
      <c r="B27" s="42" t="s">
        <v>6</v>
      </c>
      <c r="C27" s="57">
        <f>C25+1</f>
        <v>13</v>
      </c>
      <c r="D27" s="45" t="s">
        <v>180</v>
      </c>
      <c r="E27" s="45" t="s">
        <v>51</v>
      </c>
      <c r="F27" s="46" t="s">
        <v>1</v>
      </c>
      <c r="G27" s="120" t="s">
        <v>212</v>
      </c>
      <c r="H27" s="121"/>
      <c r="I27" s="122" t="s">
        <v>233</v>
      </c>
      <c r="J27" s="123"/>
      <c r="K27" s="123"/>
      <c r="L27" s="124"/>
      <c r="M27" s="70">
        <f>IF(OR(ISERROR(('input data'!U32/'input data'!U28) * 100),'input data'!U32="",'input data'!U28=""),"",('input data'!U32/'input data'!U28) * 100)</f>
        <v>67.155095963507719</v>
      </c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</row>
    <row r="28" spans="1:252" s="47" customFormat="1" ht="5.0999999999999996" customHeight="1">
      <c r="A28" s="42"/>
      <c r="B28" s="42"/>
      <c r="C28" s="8"/>
      <c r="D28" s="10"/>
      <c r="E28" s="10"/>
      <c r="F28" s="11"/>
      <c r="G28" s="125"/>
      <c r="H28" s="126"/>
      <c r="I28" s="48"/>
      <c r="J28" s="49"/>
      <c r="K28" s="49"/>
      <c r="L28" s="49"/>
      <c r="M28" s="49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</row>
    <row r="29" spans="1:252" s="47" customFormat="1" ht="54.95" customHeight="1">
      <c r="A29" s="42"/>
      <c r="B29" s="42"/>
      <c r="C29" s="57">
        <f>C27+1</f>
        <v>14</v>
      </c>
      <c r="D29" s="45" t="s">
        <v>181</v>
      </c>
      <c r="E29" s="45" t="s">
        <v>28</v>
      </c>
      <c r="F29" s="46" t="s">
        <v>1</v>
      </c>
      <c r="G29" s="120" t="s">
        <v>213</v>
      </c>
      <c r="H29" s="121"/>
      <c r="I29" s="122" t="s">
        <v>233</v>
      </c>
      <c r="J29" s="123"/>
      <c r="K29" s="123"/>
      <c r="L29" s="124"/>
      <c r="M29" s="70">
        <f>IF(OR(ISERROR(('input data'!U34/'input data'!U30) * 100),'input data'!U34="",'input data'!U30=""),"",('input data'!U34/'input data'!U30) * 100)</f>
        <v>90.472837617503444</v>
      </c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</row>
    <row r="30" spans="1:252" s="9" customFormat="1" ht="5.0999999999999996" customHeight="1">
      <c r="A30" s="8"/>
      <c r="B30" s="8"/>
      <c r="C30" s="8"/>
      <c r="D30" s="10"/>
      <c r="E30" s="10"/>
      <c r="F30" s="11"/>
      <c r="G30" s="125"/>
      <c r="H30" s="126"/>
      <c r="I30" s="79"/>
      <c r="J30" s="80"/>
      <c r="K30" s="80"/>
      <c r="L30" s="80"/>
      <c r="M30" s="80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</row>
    <row r="31" spans="1:252" s="47" customFormat="1" ht="54.95" customHeight="1">
      <c r="A31" s="42"/>
      <c r="B31" s="42" t="s">
        <v>6</v>
      </c>
      <c r="C31" s="57">
        <f>C29+1</f>
        <v>15</v>
      </c>
      <c r="D31" s="45" t="s">
        <v>182</v>
      </c>
      <c r="E31" s="45" t="s">
        <v>52</v>
      </c>
      <c r="F31" s="46" t="s">
        <v>1</v>
      </c>
      <c r="G31" s="120" t="s">
        <v>214</v>
      </c>
      <c r="H31" s="121"/>
      <c r="I31" s="122" t="s">
        <v>233</v>
      </c>
      <c r="J31" s="123"/>
      <c r="K31" s="123"/>
      <c r="L31" s="124"/>
      <c r="M31" s="70">
        <f>IF(OR(ISERROR('input data'!U36/'input data'!U28*100),'input data'!U36="",'input data'!U28=""),"",'input data'!U36/'input data'!U28*100)</f>
        <v>15.741290308004535</v>
      </c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</row>
    <row r="32" spans="1:252" s="47" customFormat="1" ht="5.0999999999999996" customHeight="1">
      <c r="A32" s="42"/>
      <c r="B32" s="42"/>
      <c r="C32" s="8"/>
      <c r="D32" s="10"/>
      <c r="E32" s="10"/>
      <c r="F32" s="11"/>
      <c r="G32" s="125"/>
      <c r="H32" s="126"/>
      <c r="I32" s="79"/>
      <c r="J32" s="80"/>
      <c r="K32" s="80"/>
      <c r="L32" s="80"/>
      <c r="M32" s="80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</row>
    <row r="33" spans="1:252" s="47" customFormat="1" ht="54.95" customHeight="1">
      <c r="A33" s="42"/>
      <c r="B33" s="42"/>
      <c r="C33" s="57">
        <f>C31+1</f>
        <v>16</v>
      </c>
      <c r="D33" s="45" t="s">
        <v>183</v>
      </c>
      <c r="E33" s="45" t="s">
        <v>53</v>
      </c>
      <c r="F33" s="46" t="s">
        <v>1</v>
      </c>
      <c r="G33" s="120" t="s">
        <v>215</v>
      </c>
      <c r="H33" s="121"/>
      <c r="I33" s="122" t="s">
        <v>233</v>
      </c>
      <c r="J33" s="123"/>
      <c r="K33" s="123"/>
      <c r="L33" s="124"/>
      <c r="M33" s="70">
        <f>IF(OR(ISERROR('input data'!U38/'input data'!U30*100),'input data'!U38="",'input data'!U30=""),"",'input data'!U38/'input data'!U30*100)</f>
        <v>0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</row>
    <row r="34" spans="1:252" s="9" customFormat="1" ht="5.0999999999999996" customHeight="1">
      <c r="A34" s="8"/>
      <c r="B34" s="8"/>
      <c r="C34" s="8"/>
      <c r="D34" s="10"/>
      <c r="E34" s="10"/>
      <c r="F34" s="11"/>
      <c r="G34" s="125"/>
      <c r="H34" s="126"/>
      <c r="I34" s="79"/>
      <c r="J34" s="80"/>
      <c r="K34" s="80"/>
      <c r="L34" s="80"/>
      <c r="M34" s="80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</row>
    <row r="35" spans="1:252" s="9" customFormat="1" ht="50.1" customHeight="1">
      <c r="A35" s="8"/>
      <c r="B35" s="8"/>
      <c r="C35" s="57">
        <f>C33+1</f>
        <v>17</v>
      </c>
      <c r="D35" s="45" t="s">
        <v>184</v>
      </c>
      <c r="E35" s="45" t="s">
        <v>54</v>
      </c>
      <c r="F35" s="46" t="s">
        <v>1</v>
      </c>
      <c r="G35" s="120" t="s">
        <v>216</v>
      </c>
      <c r="H35" s="121"/>
      <c r="I35" s="122" t="s">
        <v>233</v>
      </c>
      <c r="J35" s="123"/>
      <c r="K35" s="123"/>
      <c r="L35" s="124"/>
      <c r="M35" s="70">
        <f>IF(OR(ISERROR('input data'!U40/'input data'!U28*100),'input data'!U40="",'input data'!U28=""),"",'input data'!U40/'input data'!U28*100)</f>
        <v>0</v>
      </c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</row>
    <row r="36" spans="1:252" s="9" customFormat="1" ht="5.0999999999999996" customHeight="1">
      <c r="A36" s="8"/>
      <c r="B36" s="8"/>
      <c r="C36" s="8"/>
      <c r="D36" s="10"/>
      <c r="E36" s="10"/>
      <c r="F36" s="11"/>
      <c r="G36" s="125"/>
      <c r="H36" s="126"/>
      <c r="I36" s="79"/>
      <c r="J36" s="80"/>
      <c r="K36" s="80"/>
      <c r="L36" s="80"/>
      <c r="M36" s="80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</row>
    <row r="37" spans="1:252" s="9" customFormat="1" ht="45" customHeight="1">
      <c r="A37" s="8"/>
      <c r="B37" s="8"/>
      <c r="C37" s="57">
        <f>C35+1</f>
        <v>18</v>
      </c>
      <c r="D37" s="45" t="s">
        <v>185</v>
      </c>
      <c r="E37" s="45" t="s">
        <v>55</v>
      </c>
      <c r="F37" s="46" t="s">
        <v>1</v>
      </c>
      <c r="G37" s="120" t="s">
        <v>217</v>
      </c>
      <c r="H37" s="121"/>
      <c r="I37" s="122" t="s">
        <v>234</v>
      </c>
      <c r="J37" s="123"/>
      <c r="K37" s="123"/>
      <c r="L37" s="124"/>
      <c r="M37" s="70">
        <f>IF(OR(ISERROR('input data'!U42/'input data'!U30*100),'input data'!U30="",'input data'!U42=""),"",'input data'!U42/'input data'!U30*100)</f>
        <v>0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</row>
    <row r="38" spans="1:252" s="9" customFormat="1" ht="5.0999999999999996" customHeight="1">
      <c r="A38" s="8"/>
      <c r="B38" s="8"/>
      <c r="C38" s="8"/>
      <c r="D38" s="10"/>
      <c r="E38" s="10"/>
      <c r="F38" s="11"/>
      <c r="G38" s="55"/>
      <c r="H38" s="56"/>
      <c r="I38" s="81"/>
      <c r="J38" s="80"/>
      <c r="K38" s="80"/>
      <c r="L38" s="80"/>
      <c r="M38" s="80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</row>
    <row r="39" spans="1:252" s="15" customFormat="1" ht="39.950000000000003" customHeight="1">
      <c r="A39" s="14"/>
      <c r="B39" s="14"/>
      <c r="C39" s="57">
        <f>C37+1</f>
        <v>19</v>
      </c>
      <c r="D39" s="45" t="s">
        <v>186</v>
      </c>
      <c r="E39" s="45" t="s">
        <v>56</v>
      </c>
      <c r="F39" s="46" t="s">
        <v>247</v>
      </c>
      <c r="G39" s="120" t="s">
        <v>218</v>
      </c>
      <c r="H39" s="121"/>
      <c r="I39" s="122" t="s">
        <v>233</v>
      </c>
      <c r="J39" s="123"/>
      <c r="K39" s="123"/>
      <c r="L39" s="124"/>
      <c r="M39" s="70">
        <f>IF(OR(ISERROR('input data'!U44/'input data'!U14),'input data'!U44="",'input data'!U14=""),"",'input data'!U44/'input data'!U14)</f>
        <v>260.82327666728935</v>
      </c>
    </row>
    <row r="40" spans="1:252" s="15" customFormat="1" ht="5.0999999999999996" customHeight="1">
      <c r="A40" s="14"/>
      <c r="B40" s="14"/>
      <c r="C40" s="8"/>
      <c r="D40" s="10"/>
      <c r="E40" s="10"/>
      <c r="F40" s="11"/>
      <c r="G40" s="55"/>
      <c r="H40" s="56"/>
      <c r="I40" s="79"/>
      <c r="J40" s="80"/>
      <c r="K40" s="80"/>
      <c r="L40" s="80"/>
      <c r="M40" s="80"/>
    </row>
    <row r="41" spans="1:252" s="15" customFormat="1" ht="39.950000000000003" customHeight="1">
      <c r="A41" s="14"/>
      <c r="B41" s="14"/>
      <c r="C41" s="57">
        <f>C39+1</f>
        <v>20</v>
      </c>
      <c r="D41" s="45" t="s">
        <v>187</v>
      </c>
      <c r="E41" s="45" t="s">
        <v>57</v>
      </c>
      <c r="F41" s="46" t="s">
        <v>247</v>
      </c>
      <c r="G41" s="120" t="s">
        <v>219</v>
      </c>
      <c r="H41" s="121"/>
      <c r="I41" s="122" t="s">
        <v>233</v>
      </c>
      <c r="J41" s="123"/>
      <c r="K41" s="123"/>
      <c r="L41" s="124"/>
      <c r="M41" s="70">
        <f>IF(OR(ISERROR('input data'!U48/'input data'!U46),'input data'!U48="",'input data'!U46=""),"",'input data'!U48/'input data'!U46)</f>
        <v>830.08124999999995</v>
      </c>
    </row>
    <row r="42" spans="1:252" s="15" customFormat="1" ht="5.0999999999999996" customHeight="1">
      <c r="A42" s="14"/>
      <c r="B42" s="14"/>
      <c r="C42" s="8"/>
      <c r="D42" s="10"/>
      <c r="E42" s="10"/>
      <c r="F42" s="11"/>
      <c r="G42" s="125"/>
      <c r="H42" s="126"/>
      <c r="I42" s="79"/>
      <c r="J42" s="80"/>
      <c r="K42" s="80"/>
      <c r="L42" s="80"/>
      <c r="M42" s="80"/>
    </row>
    <row r="43" spans="1:252" ht="39.950000000000003" customHeight="1">
      <c r="A43" s="14"/>
      <c r="B43" s="14"/>
      <c r="C43" s="57">
        <f>C41+1</f>
        <v>21</v>
      </c>
      <c r="D43" s="45" t="s">
        <v>188</v>
      </c>
      <c r="E43" s="45" t="s">
        <v>29</v>
      </c>
      <c r="F43" s="46" t="s">
        <v>248</v>
      </c>
      <c r="G43" s="120" t="s">
        <v>220</v>
      </c>
      <c r="H43" s="121"/>
      <c r="I43" s="122" t="s">
        <v>233</v>
      </c>
      <c r="J43" s="123"/>
      <c r="K43" s="123"/>
      <c r="L43" s="124"/>
      <c r="M43" s="70" t="str">
        <f>IF(OR(ISERROR('input data'!U52/'input data'!U50),'input data'!U50="",'input data'!U52=""),"",'input data'!U52/'input data'!U50)</f>
        <v/>
      </c>
    </row>
    <row r="44" spans="1:252" ht="5.0999999999999996" customHeight="1">
      <c r="A44" s="14"/>
      <c r="B44" s="14"/>
      <c r="C44" s="8"/>
      <c r="D44" s="10"/>
      <c r="E44" s="8"/>
      <c r="F44" s="8"/>
      <c r="G44" s="11"/>
      <c r="H44" s="11"/>
      <c r="I44" s="127"/>
      <c r="J44" s="128"/>
      <c r="K44" s="127"/>
      <c r="L44" s="128"/>
      <c r="M44" s="79"/>
    </row>
    <row r="45" spans="1:252" ht="39.950000000000003" customHeight="1">
      <c r="A45" s="14"/>
      <c r="B45" s="14"/>
      <c r="C45" s="57">
        <f>C43+1</f>
        <v>22</v>
      </c>
      <c r="D45" s="45" t="s">
        <v>189</v>
      </c>
      <c r="E45" s="45" t="s">
        <v>58</v>
      </c>
      <c r="F45" s="46" t="s">
        <v>1</v>
      </c>
      <c r="G45" s="120" t="s">
        <v>221</v>
      </c>
      <c r="H45" s="121"/>
      <c r="I45" s="70">
        <f>IF(OR(ISERROR('input data'!H54/'input data'!H56*100),'input data'!H54="",'input data'!H56=""),"",'input data'!H54/'input data'!H56*100)</f>
        <v>131.16298234304438</v>
      </c>
      <c r="J45" s="70">
        <f>IF(OR(ISERROR('input data'!L54/'input data'!L56*100),'input data'!L54="",'input data'!L56=""),"",'input data'!L54/'input data'!L56*100)</f>
        <v>103.37639998785006</v>
      </c>
      <c r="K45" s="70">
        <f>IF(OR(ISERROR('input data'!P54/'input data'!P56*100),'input data'!P54="",'input data'!P56=""),"",'input data'!P54/'input data'!P56*100)</f>
        <v>82.433889180295978</v>
      </c>
      <c r="L45" s="70">
        <f>IF(OR(ISERROR('input data'!T54/'input data'!T56*100),'input data'!T54="",'input data'!T56=""),"",'input data'!T54/'input data'!T56*100)</f>
        <v>124.7276555449738</v>
      </c>
      <c r="M45" s="70">
        <f>IF(OR(ISERROR('input data'!U54/'input data'!U56*100),'input data'!U54="",'input data'!U56=""),"",'input data'!U54/'input data'!U56*100)</f>
        <v>105.72098276050446</v>
      </c>
    </row>
    <row r="46" spans="1:252" ht="5.0999999999999996" customHeight="1">
      <c r="A46" s="14"/>
      <c r="B46" s="14"/>
      <c r="C46" s="8"/>
      <c r="D46" s="10"/>
      <c r="E46" s="10"/>
      <c r="F46" s="11"/>
      <c r="G46" s="125"/>
      <c r="H46" s="126"/>
      <c r="I46" s="79"/>
      <c r="J46" s="80"/>
      <c r="K46" s="80"/>
      <c r="L46" s="80"/>
      <c r="M46" s="80"/>
    </row>
    <row r="47" spans="1:252" ht="50.1" customHeight="1">
      <c r="C47" s="57">
        <f>C45+1</f>
        <v>23</v>
      </c>
      <c r="D47" s="45" t="s">
        <v>190</v>
      </c>
      <c r="E47" s="45" t="s">
        <v>30</v>
      </c>
      <c r="F47" s="46" t="s">
        <v>1</v>
      </c>
      <c r="G47" s="120" t="s">
        <v>222</v>
      </c>
      <c r="H47" s="121"/>
      <c r="I47" s="122" t="s">
        <v>233</v>
      </c>
      <c r="J47" s="123"/>
      <c r="K47" s="123"/>
      <c r="L47" s="124"/>
      <c r="M47" s="70">
        <f>IF(OR(ISERROR('input data'!U44/'input data'!U28*100),'input data'!U44="",'input data'!U28=""),"",'input data'!U44/'input data'!U28*100)</f>
        <v>134.14420974054656</v>
      </c>
    </row>
    <row r="48" spans="1:252" ht="5.0999999999999996" customHeight="1">
      <c r="C48" s="8"/>
      <c r="D48" s="10"/>
      <c r="E48" s="10"/>
      <c r="F48" s="11"/>
      <c r="G48" s="125"/>
      <c r="H48" s="126"/>
      <c r="I48" s="79"/>
      <c r="J48" s="80"/>
      <c r="K48" s="80"/>
      <c r="L48" s="80"/>
      <c r="M48" s="80"/>
    </row>
    <row r="49" spans="3:13" ht="50.1" customHeight="1">
      <c r="C49" s="57">
        <f>C47+1</f>
        <v>24</v>
      </c>
      <c r="D49" s="45" t="s">
        <v>191</v>
      </c>
      <c r="E49" s="45" t="s">
        <v>59</v>
      </c>
      <c r="F49" s="46" t="s">
        <v>1</v>
      </c>
      <c r="G49" s="120" t="s">
        <v>223</v>
      </c>
      <c r="H49" s="121"/>
      <c r="I49" s="122" t="s">
        <v>233</v>
      </c>
      <c r="J49" s="123"/>
      <c r="K49" s="123"/>
      <c r="L49" s="124"/>
      <c r="M49" s="70">
        <f>IF(OR(ISERROR('input data'!U54/'input data'!U28*100),'input data'!U54="",'input data'!U28=""),"",'input data'!U54/'input data'!U28*100)</f>
        <v>13.737681328860429</v>
      </c>
    </row>
    <row r="50" spans="3:13" ht="5.0999999999999996" customHeight="1">
      <c r="C50" s="8"/>
      <c r="D50" s="10"/>
      <c r="E50" s="10"/>
      <c r="F50" s="11"/>
      <c r="G50" s="125"/>
      <c r="H50" s="126"/>
      <c r="I50" s="79"/>
      <c r="J50" s="80"/>
      <c r="K50" s="80"/>
      <c r="L50" s="80"/>
      <c r="M50" s="80"/>
    </row>
    <row r="51" spans="3:13" ht="50.1" customHeight="1">
      <c r="C51" s="57">
        <f>C49+1</f>
        <v>25</v>
      </c>
      <c r="D51" s="45" t="s">
        <v>192</v>
      </c>
      <c r="E51" s="45" t="s">
        <v>31</v>
      </c>
      <c r="F51" s="46" t="s">
        <v>1</v>
      </c>
      <c r="G51" s="120" t="s">
        <v>224</v>
      </c>
      <c r="H51" s="121"/>
      <c r="I51" s="122" t="s">
        <v>233</v>
      </c>
      <c r="J51" s="123"/>
      <c r="K51" s="123"/>
      <c r="L51" s="124"/>
      <c r="M51" s="70">
        <f>IF(OR(ISERROR('input data'!U58/'input data'!U28*100),'input data'!U58="",'input data'!U28=""),"",'input data'!U58/'input data'!U28*100)</f>
        <v>0</v>
      </c>
    </row>
    <row r="52" spans="3:13" ht="5.0999999999999996" customHeight="1">
      <c r="C52" s="8"/>
      <c r="D52" s="10"/>
      <c r="E52" s="10"/>
      <c r="F52" s="11"/>
      <c r="G52" s="125"/>
      <c r="H52" s="126"/>
      <c r="I52" s="79"/>
      <c r="J52" s="80"/>
      <c r="K52" s="80"/>
      <c r="L52" s="80"/>
      <c r="M52" s="80"/>
    </row>
    <row r="53" spans="3:13" ht="50.1" customHeight="1">
      <c r="C53" s="57">
        <f>C51+1</f>
        <v>26</v>
      </c>
      <c r="D53" s="45" t="s">
        <v>193</v>
      </c>
      <c r="E53" s="45" t="s">
        <v>60</v>
      </c>
      <c r="F53" s="46" t="s">
        <v>241</v>
      </c>
      <c r="G53" s="120" t="s">
        <v>225</v>
      </c>
      <c r="H53" s="121"/>
      <c r="I53" s="122" t="s">
        <v>233</v>
      </c>
      <c r="J53" s="123"/>
      <c r="K53" s="123"/>
      <c r="L53" s="124"/>
      <c r="M53" s="70">
        <f>IF(OR(ISERROR('input data'!U60/('input data'!U14/1000)),'input data'!U60="",'input data'!U14=""),"",'input data'!U60/('input data'!U14/1000))</f>
        <v>5.0439006164767424</v>
      </c>
    </row>
    <row r="54" spans="3:13" ht="5.0999999999999996" customHeight="1">
      <c r="C54" s="8"/>
      <c r="D54" s="10"/>
      <c r="E54" s="10"/>
      <c r="F54" s="11"/>
      <c r="G54" s="55"/>
      <c r="H54" s="56"/>
      <c r="I54" s="79"/>
      <c r="J54" s="80"/>
      <c r="K54" s="80"/>
      <c r="L54" s="80"/>
      <c r="M54" s="80"/>
    </row>
    <row r="55" spans="3:13" ht="50.1" customHeight="1">
      <c r="C55" s="57">
        <f>C53+1</f>
        <v>27</v>
      </c>
      <c r="D55" s="45" t="s">
        <v>194</v>
      </c>
      <c r="E55" s="45" t="s">
        <v>61</v>
      </c>
      <c r="F55" s="46" t="s">
        <v>242</v>
      </c>
      <c r="G55" s="120" t="s">
        <v>226</v>
      </c>
      <c r="H55" s="121"/>
      <c r="I55" s="122" t="s">
        <v>233</v>
      </c>
      <c r="J55" s="123"/>
      <c r="K55" s="123"/>
      <c r="L55" s="124"/>
      <c r="M55" s="70">
        <f>IF(OR(ISERROR('input data'!U64/'input data'!U62),'input data'!U64="",'input data'!U62=""),"",'input data'!U64/'input data'!U62)</f>
        <v>1.2195121951219512</v>
      </c>
    </row>
    <row r="56" spans="3:13" ht="5.0999999999999996" customHeight="1">
      <c r="C56" s="8"/>
      <c r="D56" s="10"/>
      <c r="E56" s="10"/>
      <c r="F56" s="11"/>
      <c r="G56" s="125"/>
      <c r="H56" s="126"/>
      <c r="I56" s="79"/>
      <c r="J56" s="80"/>
      <c r="K56" s="80"/>
      <c r="L56" s="80"/>
      <c r="M56" s="80"/>
    </row>
    <row r="57" spans="3:13" ht="50.1" customHeight="1">
      <c r="C57" s="57">
        <f>C55+1</f>
        <v>28</v>
      </c>
      <c r="D57" s="45" t="s">
        <v>195</v>
      </c>
      <c r="E57" s="45" t="s">
        <v>62</v>
      </c>
      <c r="F57" s="46" t="s">
        <v>243</v>
      </c>
      <c r="G57" s="120" t="s">
        <v>227</v>
      </c>
      <c r="H57" s="121"/>
      <c r="I57" s="122" t="s">
        <v>233</v>
      </c>
      <c r="J57" s="123"/>
      <c r="K57" s="123"/>
      <c r="L57" s="124"/>
      <c r="M57" s="70">
        <f>IF(OR(ISERROR(('input data'!U68/('input data'!U14/1000))),'input data'!U14="",'input data'!U68=""),"",('input data'!U68/('input data'!U14/1000)))</f>
        <v>1.1831371816426928</v>
      </c>
    </row>
    <row r="58" spans="3:13" ht="5.0999999999999996" customHeight="1">
      <c r="C58" s="8"/>
      <c r="D58" s="10"/>
      <c r="E58" s="10"/>
      <c r="F58" s="11"/>
      <c r="G58" s="125"/>
      <c r="H58" s="126"/>
      <c r="I58" s="79"/>
      <c r="J58" s="80"/>
      <c r="K58" s="80"/>
      <c r="L58" s="80"/>
      <c r="M58" s="80"/>
    </row>
    <row r="59" spans="3:13" ht="50.1" customHeight="1">
      <c r="C59" s="57">
        <f>C57+1</f>
        <v>29</v>
      </c>
      <c r="D59" s="45" t="s">
        <v>196</v>
      </c>
      <c r="E59" s="45" t="s">
        <v>32</v>
      </c>
      <c r="F59" s="46" t="s">
        <v>1</v>
      </c>
      <c r="G59" s="120" t="s">
        <v>228</v>
      </c>
      <c r="H59" s="121"/>
      <c r="I59" s="70">
        <f>IF(OR(ISERROR('input data'!H72/'input data'!H70*100),'input data'!H70="",'input data'!H72=""),"",'input data'!H72/'input data'!H70*100)</f>
        <v>100</v>
      </c>
      <c r="J59" s="70">
        <f>IF(OR(ISERROR('input data'!L72/'input data'!L70*100),'input data'!L70="",'input data'!L72=""),"",'input data'!L72/'input data'!L70*100)</f>
        <v>100</v>
      </c>
      <c r="K59" s="70">
        <f>IF(OR(ISERROR('input data'!P72/'input data'!P70*100),'input data'!P70="",'input data'!P72=""),"",'input data'!P72/'input data'!P70*100)</f>
        <v>100</v>
      </c>
      <c r="L59" s="70">
        <f>IF(OR(ISERROR('input data'!T72/'input data'!T70*100),'input data'!T70="",'input data'!T72=""),"",'input data'!T72/'input data'!T70*100)</f>
        <v>100</v>
      </c>
      <c r="M59" s="70">
        <f>IF(OR(ISERROR('input data'!U72/'input data'!U70*100),'input data'!U70="",'input data'!U72=""),"",'input data'!U72/'input data'!U70*100)</f>
        <v>100</v>
      </c>
    </row>
    <row r="60" spans="3:13" ht="5.0999999999999996" customHeight="1">
      <c r="C60" s="8"/>
      <c r="D60" s="10"/>
      <c r="E60" s="10"/>
      <c r="F60" s="11"/>
      <c r="G60" s="125"/>
      <c r="H60" s="126"/>
      <c r="I60" s="79"/>
      <c r="J60" s="80"/>
      <c r="K60" s="80"/>
      <c r="L60" s="80"/>
      <c r="M60" s="80"/>
    </row>
    <row r="61" spans="3:13" ht="50.1" customHeight="1">
      <c r="C61" s="57">
        <f>C59+1</f>
        <v>30</v>
      </c>
      <c r="D61" s="45" t="s">
        <v>197</v>
      </c>
      <c r="E61" s="45" t="s">
        <v>63</v>
      </c>
      <c r="F61" s="46" t="s">
        <v>244</v>
      </c>
      <c r="G61" s="120" t="s">
        <v>229</v>
      </c>
      <c r="H61" s="121"/>
      <c r="I61" s="70">
        <f>IF(OR(ISERROR('input data'!H74/'input data'!U24),'input data'!H74="",'input data'!U24=""),"",'input data'!H74/'input data'!U24)</f>
        <v>0.6214995483288166</v>
      </c>
      <c r="J61" s="70">
        <f>IF(OR(ISERROR('input data'!L74/'input data'!U24),'input data'!L74="",'input data'!U24=""),"",'input data'!L74/'input data'!U24)</f>
        <v>0.6449864498644986</v>
      </c>
      <c r="K61" s="70">
        <f>IF(OR(ISERROR('input data'!P74/'input data'!U24),'input data'!P74="",'input data'!U24=""),"",'input data'!P74/'input data'!U24)</f>
        <v>0.6775067750677507</v>
      </c>
      <c r="L61" s="70">
        <f>IF(OR(ISERROR('input data'!T74/'input data'!U24),'input data'!T74="",'input data'!U24=""),"",'input data'!T74/'input data'!U24)</f>
        <v>0.57452574525745259</v>
      </c>
      <c r="M61" s="70">
        <f>IF(OR(ISERROR('input data'!U74/'input data'!U24),'input data'!U74="",'input data'!U24=""),"",'input data'!U74/'input data'!U24)</f>
        <v>0.62962962962962965</v>
      </c>
    </row>
    <row r="62" spans="3:13" ht="5.0999999999999996" customHeight="1">
      <c r="C62" s="8"/>
      <c r="D62" s="10"/>
      <c r="E62" s="10"/>
      <c r="F62" s="11"/>
      <c r="G62" s="125"/>
      <c r="H62" s="126"/>
      <c r="I62" s="79"/>
      <c r="J62" s="80"/>
      <c r="K62" s="80"/>
      <c r="L62" s="80"/>
      <c r="M62" s="80"/>
    </row>
    <row r="63" spans="3:13" ht="50.1" customHeight="1">
      <c r="C63" s="57">
        <f>C61+1</f>
        <v>31</v>
      </c>
      <c r="D63" s="45" t="s">
        <v>198</v>
      </c>
      <c r="E63" s="45" t="s">
        <v>64</v>
      </c>
      <c r="F63" s="46" t="s">
        <v>245</v>
      </c>
      <c r="G63" s="120" t="s">
        <v>230</v>
      </c>
      <c r="H63" s="121"/>
      <c r="I63" s="70">
        <f>IF(OR(ISERROR('input data'!H74/'input data'!U14),'input data'!U14="",'input data'!H74=""),"",'input data'!H74/'input data'!U14)</f>
        <v>2.1421010025530856E-2</v>
      </c>
      <c r="J63" s="70">
        <f>IF(OR(ISERROR('input data'!L74/'input data'!U14),'input data'!U14="",'input data'!L74=""),"",'input data'!L74/'input data'!U14)</f>
        <v>2.2230524939286383E-2</v>
      </c>
      <c r="K63" s="70">
        <f>IF(OR(ISERROR('input data'!P74/'input data'!U14),'input data'!U14="",'input data'!P74=""),"",'input data'!P74/'input data'!U14)</f>
        <v>2.3351391742947879E-2</v>
      </c>
      <c r="L63" s="70">
        <f>IF(OR(ISERROR('input data'!T74/'input data'!U14),'input data'!U14="",'input data'!T74=""),"",'input data'!T74/'input data'!U14)</f>
        <v>1.9801980198019802E-2</v>
      </c>
      <c r="M63" s="70">
        <f>IF(OR(ISERROR('input data'!U74/'input data'!U14),'input data'!U14="",'input data'!U74=""),"",'input data'!U74/'input data'!U14)</f>
        <v>2.170122672644623E-2</v>
      </c>
    </row>
    <row r="64" spans="3:13" ht="5.0999999999999996" customHeight="1">
      <c r="C64" s="8"/>
      <c r="D64" s="10"/>
      <c r="E64" s="10"/>
      <c r="F64" s="11"/>
      <c r="G64" s="125"/>
      <c r="H64" s="126"/>
      <c r="I64" s="79"/>
      <c r="J64" s="80"/>
      <c r="K64" s="80"/>
      <c r="L64" s="80"/>
      <c r="M64" s="80"/>
    </row>
    <row r="65" spans="3:13" ht="50.1" customHeight="1">
      <c r="C65" s="57">
        <f>C63+1</f>
        <v>32</v>
      </c>
      <c r="D65" s="45" t="s">
        <v>199</v>
      </c>
      <c r="E65" s="45" t="s">
        <v>65</v>
      </c>
      <c r="F65" s="46" t="s">
        <v>1</v>
      </c>
      <c r="G65" s="120" t="s">
        <v>231</v>
      </c>
      <c r="H65" s="121"/>
      <c r="I65" s="83">
        <f>IF(OR(ISERROR('input data'!H76/'input data'!H78),'input data'!H76="",'input data'!H78=""),"",('input data'!H76/'input data'!H78))</f>
        <v>1.3116264780615474</v>
      </c>
      <c r="J65" s="83">
        <f>IF(OR(ISERROR('input data'!L76/'input data'!L78),'input data'!L76="",'input data'!L78=""),"",('input data'!L76/'input data'!L78))</f>
        <v>1.0337639998785007</v>
      </c>
      <c r="K65" s="83">
        <f>IF(OR(ISERROR('input data'!P76/'input data'!P78),'input data'!P76="",'input data'!P78=""),"",('input data'!P76/'input data'!P78))</f>
        <v>0.82433903524241026</v>
      </c>
      <c r="L65" s="83">
        <f>IF(OR(ISERROR('input data'!T76/'input data'!T78),'input data'!T76="",'input data'!T78=""),"",('input data'!T76/'input data'!T78))</f>
        <v>1.247276555449738</v>
      </c>
      <c r="M65" s="83">
        <f>IF(OR(ISERROR('input data'!U76/'input data'!U78),'input data'!U76="",'input data'!U78=""),"",('input data'!U76/'input data'!U78))</f>
        <v>1.0572093483743477</v>
      </c>
    </row>
    <row r="66" spans="3:13" ht="5.0999999999999996" customHeight="1">
      <c r="C66" s="8"/>
      <c r="D66" s="10"/>
      <c r="E66" s="10"/>
      <c r="F66" s="11"/>
      <c r="G66" s="125"/>
      <c r="H66" s="126"/>
      <c r="I66" s="79"/>
      <c r="J66" s="80"/>
      <c r="K66" s="80"/>
      <c r="L66" s="80"/>
      <c r="M66" s="80"/>
    </row>
    <row r="67" spans="3:13" ht="50.1" customHeight="1">
      <c r="C67" s="57">
        <f>C65+1</f>
        <v>33</v>
      </c>
      <c r="D67" s="45" t="s">
        <v>200</v>
      </c>
      <c r="E67" s="45" t="s">
        <v>66</v>
      </c>
      <c r="F67" s="46" t="s">
        <v>246</v>
      </c>
      <c r="G67" s="120" t="s">
        <v>232</v>
      </c>
      <c r="H67" s="121"/>
      <c r="I67" s="70">
        <f>IF(OR(ISERROR('input data'!H80/('input data'!U14*1000)),'input data'!H80="",'input data'!U14=""),"",'input data'!H80/('input data'!U14*1000))</f>
        <v>0</v>
      </c>
      <c r="J67" s="70">
        <f>IF(OR(ISERROR('input data'!L80/('input data'!U14*1000)),'input data'!L80="",'input data'!U14=""),"",'input data'!L80/('input data'!U14*1000))</f>
        <v>0</v>
      </c>
      <c r="K67" s="70">
        <f>IF(OR(ISERROR('input data'!P80/('input data'!U14*1000)),'input data'!P80="",'input data'!U14=""),"",'input data'!P80/('input data'!U14*1000))</f>
        <v>1.2454075596238868E-7</v>
      </c>
      <c r="L67" s="70">
        <f>IF(OR(ISERROR('input data'!T80/('input data'!U14*1000)),'input data'!T80="",'input data'!U14=""),"",'input data'!T80/('input data'!U14*1000))</f>
        <v>0</v>
      </c>
      <c r="M67" s="70">
        <f>IF(OR(ISERROR('input data'!U80/('input data'!U14*1000)),'input data'!U80="",'input data'!U14=""),"",'input data'!U80/('input data'!U14*1000))</f>
        <v>3.1135188990597171E-8</v>
      </c>
    </row>
    <row r="68" spans="3:13" s="15" customFormat="1">
      <c r="D68" s="93"/>
      <c r="E68" s="93"/>
      <c r="F68" s="94"/>
      <c r="I68" s="94"/>
      <c r="J68" s="94"/>
      <c r="K68" s="94"/>
      <c r="L68" s="94"/>
      <c r="M68" s="94"/>
    </row>
    <row r="69" spans="3:13" s="15" customFormat="1">
      <c r="D69" s="93"/>
      <c r="E69" s="93"/>
      <c r="F69" s="94"/>
      <c r="I69" s="94"/>
      <c r="J69" s="94"/>
      <c r="K69" s="94"/>
      <c r="L69" s="94"/>
      <c r="M69" s="94"/>
    </row>
    <row r="70" spans="3:13" s="15" customFormat="1">
      <c r="D70" s="93"/>
      <c r="E70" s="93"/>
      <c r="F70" s="94"/>
      <c r="I70" s="94"/>
      <c r="J70" s="94"/>
      <c r="K70" s="94"/>
      <c r="L70" s="94"/>
      <c r="M70" s="94"/>
    </row>
    <row r="71" spans="3:13" s="15" customFormat="1">
      <c r="D71" s="93"/>
      <c r="E71" s="93"/>
      <c r="F71" s="94"/>
      <c r="I71" s="94"/>
      <c r="J71" s="94"/>
      <c r="K71" s="94"/>
      <c r="L71" s="94"/>
      <c r="M71" s="94"/>
    </row>
    <row r="72" spans="3:13" s="15" customFormat="1">
      <c r="D72" s="93"/>
      <c r="E72" s="93"/>
      <c r="F72" s="94"/>
      <c r="I72" s="94"/>
      <c r="J72" s="94"/>
      <c r="K72" s="94"/>
      <c r="L72" s="94"/>
      <c r="M72" s="94"/>
    </row>
    <row r="73" spans="3:13" s="15" customFormat="1">
      <c r="D73" s="93"/>
      <c r="E73" s="93"/>
      <c r="F73" s="94"/>
      <c r="I73" s="94"/>
      <c r="J73" s="94"/>
      <c r="K73" s="94"/>
      <c r="L73" s="94"/>
      <c r="M73" s="94"/>
    </row>
    <row r="74" spans="3:13" s="15" customFormat="1">
      <c r="D74" s="93"/>
      <c r="E74" s="93"/>
      <c r="F74" s="94"/>
      <c r="I74" s="94"/>
      <c r="J74" s="94"/>
      <c r="K74" s="94"/>
      <c r="L74" s="94"/>
      <c r="M74" s="94"/>
    </row>
    <row r="75" spans="3:13" s="15" customFormat="1">
      <c r="D75" s="93"/>
      <c r="E75" s="93"/>
      <c r="F75" s="94"/>
      <c r="I75" s="94"/>
      <c r="J75" s="94"/>
      <c r="K75" s="94"/>
      <c r="L75" s="94"/>
      <c r="M75" s="94"/>
    </row>
    <row r="76" spans="3:13" s="15" customFormat="1">
      <c r="D76" s="93"/>
      <c r="E76" s="93"/>
      <c r="F76" s="94"/>
      <c r="I76" s="94"/>
      <c r="J76" s="94"/>
      <c r="K76" s="94"/>
      <c r="L76" s="94"/>
      <c r="M76" s="94"/>
    </row>
    <row r="77" spans="3:13" s="15" customFormat="1">
      <c r="D77" s="93"/>
      <c r="E77" s="93"/>
      <c r="F77" s="94"/>
      <c r="I77" s="94"/>
      <c r="J77" s="94"/>
      <c r="K77" s="94"/>
      <c r="L77" s="94"/>
      <c r="M77" s="94"/>
    </row>
    <row r="78" spans="3:13" s="15" customFormat="1">
      <c r="D78" s="93"/>
      <c r="E78" s="93"/>
      <c r="F78" s="94"/>
      <c r="I78" s="94"/>
      <c r="J78" s="94"/>
      <c r="K78" s="94"/>
      <c r="L78" s="94"/>
      <c r="M78" s="94"/>
    </row>
    <row r="79" spans="3:13" s="15" customFormat="1">
      <c r="D79" s="93"/>
      <c r="E79" s="93"/>
      <c r="F79" s="94"/>
      <c r="I79" s="94"/>
      <c r="J79" s="94"/>
      <c r="K79" s="94"/>
      <c r="L79" s="94"/>
      <c r="M79" s="94"/>
    </row>
    <row r="80" spans="3:13" s="15" customFormat="1">
      <c r="D80" s="93"/>
      <c r="E80" s="93"/>
      <c r="F80" s="94"/>
      <c r="I80" s="94"/>
      <c r="J80" s="94"/>
      <c r="K80" s="94"/>
      <c r="L80" s="94"/>
      <c r="M80" s="94"/>
    </row>
    <row r="81" spans="4:13" s="15" customFormat="1">
      <c r="D81" s="93"/>
      <c r="E81" s="93"/>
      <c r="F81" s="94"/>
      <c r="I81" s="94"/>
      <c r="J81" s="94"/>
      <c r="K81" s="94"/>
      <c r="L81" s="94"/>
      <c r="M81" s="94"/>
    </row>
    <row r="82" spans="4:13" s="15" customFormat="1">
      <c r="D82" s="93"/>
      <c r="E82" s="93"/>
      <c r="F82" s="94"/>
      <c r="I82" s="94"/>
      <c r="J82" s="94"/>
      <c r="K82" s="94"/>
      <c r="L82" s="94"/>
      <c r="M82" s="94"/>
    </row>
    <row r="83" spans="4:13" s="15" customFormat="1">
      <c r="D83" s="93"/>
      <c r="E83" s="93"/>
      <c r="F83" s="94"/>
      <c r="I83" s="94"/>
      <c r="J83" s="94"/>
      <c r="K83" s="94"/>
      <c r="L83" s="94"/>
      <c r="M83" s="94"/>
    </row>
    <row r="84" spans="4:13" s="15" customFormat="1">
      <c r="D84" s="93"/>
      <c r="E84" s="93"/>
      <c r="F84" s="94"/>
      <c r="I84" s="94"/>
      <c r="J84" s="94"/>
      <c r="K84" s="94"/>
      <c r="L84" s="94"/>
      <c r="M84" s="94"/>
    </row>
    <row r="85" spans="4:13" s="15" customFormat="1">
      <c r="D85" s="93"/>
      <c r="E85" s="93"/>
      <c r="F85" s="94"/>
      <c r="I85" s="94"/>
      <c r="J85" s="94"/>
      <c r="K85" s="94"/>
      <c r="L85" s="94"/>
      <c r="M85" s="94"/>
    </row>
    <row r="86" spans="4:13" s="15" customFormat="1">
      <c r="D86" s="93"/>
      <c r="E86" s="93"/>
      <c r="F86" s="94"/>
      <c r="I86" s="94"/>
      <c r="J86" s="94"/>
      <c r="K86" s="94"/>
      <c r="L86" s="94"/>
      <c r="M86" s="94"/>
    </row>
    <row r="87" spans="4:13" s="15" customFormat="1">
      <c r="D87" s="93"/>
      <c r="E87" s="93"/>
      <c r="F87" s="94"/>
      <c r="I87" s="94"/>
      <c r="J87" s="94"/>
      <c r="K87" s="94"/>
      <c r="L87" s="94"/>
      <c r="M87" s="94"/>
    </row>
    <row r="88" spans="4:13" s="15" customFormat="1">
      <c r="D88" s="93"/>
      <c r="E88" s="93"/>
      <c r="F88" s="94"/>
      <c r="I88" s="94"/>
      <c r="J88" s="94"/>
      <c r="K88" s="94"/>
      <c r="L88" s="94"/>
      <c r="M88" s="94"/>
    </row>
    <row r="89" spans="4:13" s="15" customFormat="1">
      <c r="D89" s="93"/>
      <c r="E89" s="93"/>
      <c r="F89" s="94"/>
      <c r="I89" s="94"/>
      <c r="J89" s="94"/>
      <c r="K89" s="94"/>
      <c r="L89" s="94"/>
      <c r="M89" s="94"/>
    </row>
    <row r="90" spans="4:13" s="15" customFormat="1">
      <c r="D90" s="93"/>
      <c r="E90" s="93"/>
      <c r="F90" s="94"/>
      <c r="I90" s="94"/>
      <c r="J90" s="94"/>
      <c r="K90" s="94"/>
      <c r="L90" s="94"/>
      <c r="M90" s="94"/>
    </row>
    <row r="91" spans="4:13" s="15" customFormat="1">
      <c r="D91" s="93"/>
      <c r="E91" s="93"/>
      <c r="F91" s="94"/>
      <c r="I91" s="94"/>
      <c r="J91" s="94"/>
      <c r="K91" s="94"/>
      <c r="L91" s="94"/>
      <c r="M91" s="94"/>
    </row>
    <row r="92" spans="4:13" s="15" customFormat="1">
      <c r="D92" s="93"/>
      <c r="E92" s="93"/>
      <c r="F92" s="94"/>
      <c r="I92" s="94"/>
      <c r="J92" s="94"/>
      <c r="K92" s="94"/>
      <c r="L92" s="94"/>
      <c r="M92" s="94"/>
    </row>
    <row r="93" spans="4:13" s="15" customFormat="1">
      <c r="D93" s="93"/>
      <c r="E93" s="93"/>
      <c r="F93" s="94"/>
      <c r="I93" s="94"/>
      <c r="J93" s="94"/>
      <c r="K93" s="94"/>
      <c r="L93" s="94"/>
      <c r="M93" s="94"/>
    </row>
    <row r="94" spans="4:13" s="15" customFormat="1">
      <c r="D94" s="93"/>
      <c r="E94" s="93"/>
      <c r="F94" s="94"/>
      <c r="I94" s="94"/>
      <c r="J94" s="94"/>
      <c r="K94" s="94"/>
      <c r="L94" s="94"/>
      <c r="M94" s="94"/>
    </row>
    <row r="95" spans="4:13" s="15" customFormat="1">
      <c r="D95" s="93"/>
      <c r="E95" s="93"/>
      <c r="F95" s="94"/>
      <c r="I95" s="94"/>
      <c r="J95" s="94"/>
      <c r="K95" s="94"/>
      <c r="L95" s="94"/>
      <c r="M95" s="94"/>
    </row>
    <row r="96" spans="4:13" s="15" customFormat="1">
      <c r="D96" s="93"/>
      <c r="E96" s="93"/>
      <c r="F96" s="94"/>
      <c r="I96" s="94"/>
      <c r="J96" s="94"/>
      <c r="K96" s="94"/>
      <c r="L96" s="94"/>
      <c r="M96" s="94"/>
    </row>
    <row r="97" spans="4:13" s="15" customFormat="1">
      <c r="D97" s="93"/>
      <c r="E97" s="93"/>
      <c r="F97" s="94"/>
      <c r="I97" s="94"/>
      <c r="J97" s="94"/>
      <c r="K97" s="94"/>
      <c r="L97" s="94"/>
      <c r="M97" s="94"/>
    </row>
    <row r="98" spans="4:13" s="15" customFormat="1">
      <c r="D98" s="93"/>
      <c r="E98" s="93"/>
      <c r="F98" s="94"/>
      <c r="I98" s="94"/>
      <c r="J98" s="94"/>
      <c r="K98" s="94"/>
      <c r="L98" s="94"/>
      <c r="M98" s="94"/>
    </row>
    <row r="99" spans="4:13" s="15" customFormat="1">
      <c r="D99" s="93"/>
      <c r="E99" s="93"/>
      <c r="F99" s="94"/>
      <c r="I99" s="94"/>
      <c r="J99" s="94"/>
      <c r="K99" s="94"/>
      <c r="L99" s="94"/>
      <c r="M99" s="94"/>
    </row>
    <row r="100" spans="4:13" s="15" customFormat="1">
      <c r="D100" s="93"/>
      <c r="E100" s="93"/>
      <c r="F100" s="94"/>
      <c r="I100" s="94"/>
      <c r="J100" s="94"/>
      <c r="K100" s="94"/>
      <c r="L100" s="94"/>
      <c r="M100" s="94"/>
    </row>
    <row r="101" spans="4:13" s="15" customFormat="1">
      <c r="D101" s="93"/>
      <c r="E101" s="93"/>
      <c r="F101" s="94"/>
      <c r="I101" s="94"/>
      <c r="J101" s="94"/>
      <c r="K101" s="94"/>
      <c r="L101" s="94"/>
      <c r="M101" s="94"/>
    </row>
    <row r="102" spans="4:13" s="15" customFormat="1">
      <c r="D102" s="93"/>
      <c r="E102" s="93"/>
      <c r="F102" s="94"/>
      <c r="I102" s="94"/>
      <c r="J102" s="94"/>
      <c r="K102" s="94"/>
      <c r="L102" s="94"/>
      <c r="M102" s="94"/>
    </row>
    <row r="103" spans="4:13" s="15" customFormat="1">
      <c r="D103" s="93"/>
      <c r="E103" s="93"/>
      <c r="F103" s="94"/>
      <c r="I103" s="94"/>
      <c r="J103" s="94"/>
      <c r="K103" s="94"/>
      <c r="L103" s="94"/>
      <c r="M103" s="94"/>
    </row>
    <row r="104" spans="4:13" s="15" customFormat="1">
      <c r="D104" s="93"/>
      <c r="E104" s="93"/>
      <c r="F104" s="94"/>
      <c r="I104" s="94"/>
      <c r="J104" s="94"/>
      <c r="K104" s="94"/>
      <c r="L104" s="94"/>
      <c r="M104" s="94"/>
    </row>
    <row r="105" spans="4:13" s="15" customFormat="1">
      <c r="D105" s="93"/>
      <c r="E105" s="93"/>
      <c r="F105" s="94"/>
      <c r="I105" s="94"/>
      <c r="J105" s="94"/>
      <c r="K105" s="94"/>
      <c r="L105" s="94"/>
      <c r="M105" s="94"/>
    </row>
    <row r="106" spans="4:13" s="15" customFormat="1">
      <c r="D106" s="93"/>
      <c r="E106" s="93"/>
      <c r="F106" s="94"/>
      <c r="I106" s="94"/>
      <c r="J106" s="94"/>
      <c r="K106" s="94"/>
      <c r="L106" s="94"/>
      <c r="M106" s="94"/>
    </row>
    <row r="107" spans="4:13" s="15" customFormat="1">
      <c r="D107" s="93"/>
      <c r="E107" s="93"/>
      <c r="F107" s="94"/>
      <c r="I107" s="94"/>
      <c r="J107" s="94"/>
      <c r="K107" s="94"/>
      <c r="L107" s="94"/>
      <c r="M107" s="94"/>
    </row>
    <row r="108" spans="4:13" s="15" customFormat="1">
      <c r="D108" s="93"/>
      <c r="E108" s="93"/>
      <c r="F108" s="94"/>
      <c r="I108" s="94"/>
      <c r="J108" s="94"/>
      <c r="K108" s="94"/>
      <c r="L108" s="94"/>
      <c r="M108" s="94"/>
    </row>
    <row r="109" spans="4:13" s="15" customFormat="1">
      <c r="D109" s="93"/>
      <c r="E109" s="93"/>
      <c r="F109" s="94"/>
      <c r="I109" s="94"/>
      <c r="J109" s="94"/>
      <c r="K109" s="94"/>
      <c r="L109" s="94"/>
      <c r="M109" s="94"/>
    </row>
    <row r="110" spans="4:13" s="15" customFormat="1">
      <c r="D110" s="93"/>
      <c r="E110" s="93"/>
      <c r="F110" s="94"/>
      <c r="I110" s="94"/>
      <c r="J110" s="94"/>
      <c r="K110" s="94"/>
      <c r="L110" s="94"/>
      <c r="M110" s="94"/>
    </row>
    <row r="111" spans="4:13" s="15" customFormat="1">
      <c r="D111" s="93"/>
      <c r="E111" s="93"/>
      <c r="F111" s="94"/>
      <c r="I111" s="94"/>
      <c r="J111" s="94"/>
      <c r="K111" s="94"/>
      <c r="L111" s="94"/>
      <c r="M111" s="94"/>
    </row>
    <row r="112" spans="4:13" s="15" customFormat="1">
      <c r="D112" s="93"/>
      <c r="E112" s="93"/>
      <c r="F112" s="94"/>
      <c r="I112" s="94"/>
      <c r="J112" s="94"/>
      <c r="K112" s="94"/>
      <c r="L112" s="94"/>
      <c r="M112" s="94"/>
    </row>
    <row r="113" spans="4:13" s="15" customFormat="1">
      <c r="D113" s="93"/>
      <c r="E113" s="93"/>
      <c r="F113" s="94"/>
      <c r="I113" s="94"/>
      <c r="J113" s="94"/>
      <c r="K113" s="94"/>
      <c r="L113" s="94"/>
      <c r="M113" s="94"/>
    </row>
    <row r="114" spans="4:13" s="15" customFormat="1">
      <c r="D114" s="93"/>
      <c r="E114" s="93"/>
      <c r="F114" s="94"/>
      <c r="I114" s="94"/>
      <c r="J114" s="94"/>
      <c r="K114" s="94"/>
      <c r="L114" s="94"/>
      <c r="M114" s="94"/>
    </row>
    <row r="115" spans="4:13" s="15" customFormat="1">
      <c r="D115" s="93"/>
      <c r="E115" s="93"/>
      <c r="F115" s="94"/>
      <c r="I115" s="94"/>
      <c r="J115" s="94"/>
      <c r="K115" s="94"/>
      <c r="L115" s="94"/>
      <c r="M115" s="94"/>
    </row>
    <row r="116" spans="4:13" s="15" customFormat="1">
      <c r="D116" s="93"/>
      <c r="E116" s="93"/>
      <c r="F116" s="94"/>
      <c r="I116" s="94"/>
      <c r="J116" s="94"/>
      <c r="K116" s="94"/>
      <c r="L116" s="94"/>
      <c r="M116" s="94"/>
    </row>
    <row r="117" spans="4:13" s="15" customFormat="1">
      <c r="D117" s="93"/>
      <c r="E117" s="93"/>
      <c r="F117" s="94"/>
      <c r="I117" s="94"/>
      <c r="J117" s="94"/>
      <c r="K117" s="94"/>
      <c r="L117" s="94"/>
      <c r="M117" s="94"/>
    </row>
    <row r="118" spans="4:13" s="15" customFormat="1">
      <c r="D118" s="93"/>
      <c r="E118" s="93"/>
      <c r="F118" s="94"/>
      <c r="I118" s="94"/>
      <c r="J118" s="94"/>
      <c r="K118" s="94"/>
      <c r="L118" s="94"/>
      <c r="M118" s="94"/>
    </row>
    <row r="119" spans="4:13" s="15" customFormat="1">
      <c r="D119" s="93"/>
      <c r="E119" s="93"/>
      <c r="F119" s="94"/>
      <c r="I119" s="94"/>
      <c r="J119" s="94"/>
      <c r="K119" s="94"/>
      <c r="L119" s="94"/>
      <c r="M119" s="94"/>
    </row>
    <row r="120" spans="4:13" s="15" customFormat="1">
      <c r="D120" s="93"/>
      <c r="E120" s="93"/>
      <c r="F120" s="94"/>
      <c r="I120" s="94"/>
      <c r="J120" s="94"/>
      <c r="K120" s="94"/>
      <c r="L120" s="94"/>
      <c r="M120" s="94"/>
    </row>
    <row r="121" spans="4:13" s="15" customFormat="1">
      <c r="D121" s="93"/>
      <c r="E121" s="93"/>
      <c r="F121" s="94"/>
      <c r="I121" s="94"/>
      <c r="J121" s="94"/>
      <c r="K121" s="94"/>
      <c r="L121" s="94"/>
      <c r="M121" s="94"/>
    </row>
    <row r="122" spans="4:13" s="15" customFormat="1">
      <c r="D122" s="93"/>
      <c r="E122" s="93"/>
      <c r="F122" s="94"/>
      <c r="I122" s="94"/>
      <c r="J122" s="94"/>
      <c r="K122" s="94"/>
      <c r="L122" s="94"/>
      <c r="M122" s="94"/>
    </row>
    <row r="123" spans="4:13" s="15" customFormat="1">
      <c r="D123" s="93"/>
      <c r="E123" s="93"/>
      <c r="F123" s="94"/>
      <c r="I123" s="94"/>
      <c r="J123" s="94"/>
      <c r="K123" s="94"/>
      <c r="L123" s="94"/>
      <c r="M123" s="94"/>
    </row>
    <row r="124" spans="4:13" s="15" customFormat="1">
      <c r="D124" s="93"/>
      <c r="E124" s="93"/>
      <c r="F124" s="94"/>
      <c r="I124" s="94"/>
      <c r="J124" s="94"/>
      <c r="K124" s="94"/>
      <c r="L124" s="94"/>
      <c r="M124" s="94"/>
    </row>
    <row r="125" spans="4:13" s="15" customFormat="1">
      <c r="D125" s="93"/>
      <c r="E125" s="93"/>
      <c r="F125" s="94"/>
      <c r="I125" s="94"/>
      <c r="J125" s="94"/>
      <c r="K125" s="94"/>
      <c r="L125" s="94"/>
      <c r="M125" s="94"/>
    </row>
    <row r="126" spans="4:13" s="15" customFormat="1">
      <c r="D126" s="93"/>
      <c r="E126" s="93"/>
      <c r="F126" s="94"/>
      <c r="I126" s="94"/>
      <c r="J126" s="94"/>
      <c r="K126" s="94"/>
      <c r="L126" s="94"/>
      <c r="M126" s="94"/>
    </row>
    <row r="127" spans="4:13" s="15" customFormat="1">
      <c r="D127" s="93"/>
      <c r="E127" s="93"/>
      <c r="F127" s="94"/>
      <c r="I127" s="94"/>
      <c r="J127" s="94"/>
      <c r="K127" s="94"/>
      <c r="L127" s="94"/>
      <c r="M127" s="94"/>
    </row>
    <row r="128" spans="4:13" s="15" customFormat="1">
      <c r="D128" s="93"/>
      <c r="E128" s="93"/>
      <c r="F128" s="94"/>
      <c r="I128" s="94"/>
      <c r="J128" s="94"/>
      <c r="K128" s="94"/>
      <c r="L128" s="94"/>
      <c r="M128" s="94"/>
    </row>
    <row r="129" spans="4:13" s="15" customFormat="1">
      <c r="D129" s="93"/>
      <c r="E129" s="93"/>
      <c r="F129" s="94"/>
      <c r="I129" s="94"/>
      <c r="J129" s="94"/>
      <c r="K129" s="94"/>
      <c r="L129" s="94"/>
      <c r="M129" s="94"/>
    </row>
    <row r="130" spans="4:13" s="15" customFormat="1">
      <c r="D130" s="93"/>
      <c r="E130" s="93"/>
      <c r="F130" s="94"/>
      <c r="I130" s="94"/>
      <c r="J130" s="94"/>
      <c r="K130" s="94"/>
      <c r="L130" s="94"/>
      <c r="M130" s="94"/>
    </row>
    <row r="131" spans="4:13" s="15" customFormat="1">
      <c r="D131" s="93"/>
      <c r="E131" s="93"/>
      <c r="F131" s="94"/>
      <c r="I131" s="94"/>
      <c r="J131" s="94"/>
      <c r="K131" s="94"/>
      <c r="L131" s="94"/>
      <c r="M131" s="94"/>
    </row>
    <row r="132" spans="4:13" s="15" customFormat="1">
      <c r="D132" s="93"/>
      <c r="E132" s="93"/>
      <c r="F132" s="94"/>
      <c r="I132" s="94"/>
      <c r="J132" s="94"/>
      <c r="K132" s="94"/>
      <c r="L132" s="94"/>
      <c r="M132" s="94"/>
    </row>
    <row r="133" spans="4:13" s="15" customFormat="1">
      <c r="D133" s="93"/>
      <c r="E133" s="93"/>
      <c r="F133" s="94"/>
      <c r="I133" s="94"/>
      <c r="J133" s="94"/>
      <c r="K133" s="94"/>
      <c r="L133" s="94"/>
      <c r="M133" s="94"/>
    </row>
    <row r="134" spans="4:13" s="15" customFormat="1">
      <c r="D134" s="93"/>
      <c r="E134" s="93"/>
      <c r="F134" s="94"/>
      <c r="I134" s="94"/>
      <c r="J134" s="94"/>
      <c r="K134" s="94"/>
      <c r="L134" s="94"/>
      <c r="M134" s="94"/>
    </row>
    <row r="135" spans="4:13" s="15" customFormat="1">
      <c r="D135" s="93"/>
      <c r="E135" s="93"/>
      <c r="F135" s="94"/>
      <c r="I135" s="94"/>
      <c r="J135" s="94"/>
      <c r="K135" s="94"/>
      <c r="L135" s="94"/>
      <c r="M135" s="94"/>
    </row>
    <row r="136" spans="4:13" s="15" customFormat="1">
      <c r="D136" s="93"/>
      <c r="E136" s="93"/>
      <c r="F136" s="94"/>
      <c r="I136" s="94"/>
      <c r="J136" s="94"/>
      <c r="K136" s="94"/>
      <c r="L136" s="94"/>
      <c r="M136" s="94"/>
    </row>
    <row r="137" spans="4:13" s="15" customFormat="1">
      <c r="D137" s="93"/>
      <c r="E137" s="93"/>
      <c r="F137" s="94"/>
      <c r="I137" s="94"/>
      <c r="J137" s="94"/>
      <c r="K137" s="94"/>
      <c r="L137" s="94"/>
      <c r="M137" s="94"/>
    </row>
    <row r="138" spans="4:13" s="15" customFormat="1">
      <c r="D138" s="93"/>
      <c r="E138" s="93"/>
      <c r="F138" s="94"/>
      <c r="I138" s="94"/>
      <c r="J138" s="94"/>
      <c r="K138" s="94"/>
      <c r="L138" s="94"/>
      <c r="M138" s="94"/>
    </row>
    <row r="139" spans="4:13" s="15" customFormat="1">
      <c r="D139" s="93"/>
      <c r="E139" s="93"/>
      <c r="F139" s="94"/>
      <c r="I139" s="94"/>
      <c r="J139" s="94"/>
      <c r="K139" s="94"/>
      <c r="L139" s="94"/>
      <c r="M139" s="94"/>
    </row>
    <row r="140" spans="4:13" s="15" customFormat="1">
      <c r="D140" s="93"/>
      <c r="E140" s="93"/>
      <c r="F140" s="94"/>
      <c r="I140" s="94"/>
      <c r="J140" s="94"/>
      <c r="K140" s="94"/>
      <c r="L140" s="94"/>
      <c r="M140" s="94"/>
    </row>
    <row r="141" spans="4:13" s="15" customFormat="1">
      <c r="D141" s="93"/>
      <c r="E141" s="93"/>
      <c r="F141" s="94"/>
      <c r="I141" s="94"/>
      <c r="J141" s="94"/>
      <c r="K141" s="94"/>
      <c r="L141" s="94"/>
      <c r="M141" s="94"/>
    </row>
    <row r="142" spans="4:13" s="15" customFormat="1">
      <c r="D142" s="93"/>
      <c r="E142" s="93"/>
      <c r="F142" s="94"/>
      <c r="I142" s="94"/>
      <c r="J142" s="94"/>
      <c r="K142" s="94"/>
      <c r="L142" s="94"/>
      <c r="M142" s="94"/>
    </row>
    <row r="143" spans="4:13" s="15" customFormat="1">
      <c r="D143" s="93"/>
      <c r="E143" s="93"/>
      <c r="F143" s="94"/>
      <c r="I143" s="94"/>
      <c r="J143" s="94"/>
      <c r="K143" s="94"/>
      <c r="L143" s="94"/>
      <c r="M143" s="94"/>
    </row>
    <row r="144" spans="4:13" s="15" customFormat="1">
      <c r="D144" s="93"/>
      <c r="E144" s="93"/>
      <c r="F144" s="94"/>
      <c r="I144" s="94"/>
      <c r="J144" s="94"/>
      <c r="K144" s="94"/>
      <c r="L144" s="94"/>
      <c r="M144" s="94"/>
    </row>
    <row r="145" spans="4:13" s="15" customFormat="1">
      <c r="D145" s="93"/>
      <c r="E145" s="93"/>
      <c r="F145" s="94"/>
      <c r="I145" s="94"/>
      <c r="J145" s="94"/>
      <c r="K145" s="94"/>
      <c r="L145" s="94"/>
      <c r="M145" s="94"/>
    </row>
    <row r="146" spans="4:13" s="15" customFormat="1">
      <c r="D146" s="93"/>
      <c r="E146" s="93"/>
      <c r="F146" s="94"/>
      <c r="I146" s="94"/>
      <c r="J146" s="94"/>
      <c r="K146" s="94"/>
      <c r="L146" s="94"/>
      <c r="M146" s="94"/>
    </row>
    <row r="147" spans="4:13" s="15" customFormat="1">
      <c r="D147" s="93"/>
      <c r="E147" s="93"/>
      <c r="F147" s="94"/>
      <c r="I147" s="94"/>
      <c r="J147" s="94"/>
      <c r="K147" s="94"/>
      <c r="L147" s="94"/>
      <c r="M147" s="94"/>
    </row>
    <row r="148" spans="4:13" s="15" customFormat="1">
      <c r="D148" s="93"/>
      <c r="E148" s="93"/>
      <c r="F148" s="94"/>
      <c r="I148" s="94"/>
      <c r="J148" s="94"/>
      <c r="K148" s="94"/>
      <c r="L148" s="94"/>
      <c r="M148" s="94"/>
    </row>
    <row r="149" spans="4:13" s="15" customFormat="1">
      <c r="D149" s="93"/>
      <c r="E149" s="93"/>
      <c r="F149" s="94"/>
      <c r="I149" s="94"/>
      <c r="J149" s="94"/>
      <c r="K149" s="94"/>
      <c r="L149" s="94"/>
      <c r="M149" s="94"/>
    </row>
    <row r="150" spans="4:13" s="15" customFormat="1">
      <c r="D150" s="93"/>
      <c r="E150" s="93"/>
      <c r="F150" s="94"/>
      <c r="I150" s="94"/>
      <c r="J150" s="94"/>
      <c r="K150" s="94"/>
      <c r="L150" s="94"/>
      <c r="M150" s="94"/>
    </row>
    <row r="151" spans="4:13" s="15" customFormat="1">
      <c r="D151" s="93"/>
      <c r="E151" s="93"/>
      <c r="F151" s="94"/>
      <c r="I151" s="94"/>
      <c r="J151" s="94"/>
      <c r="K151" s="94"/>
      <c r="L151" s="94"/>
      <c r="M151" s="94"/>
    </row>
    <row r="152" spans="4:13" s="15" customFormat="1">
      <c r="D152" s="93"/>
      <c r="E152" s="93"/>
      <c r="F152" s="94"/>
      <c r="I152" s="94"/>
      <c r="J152" s="94"/>
      <c r="K152" s="94"/>
      <c r="L152" s="94"/>
      <c r="M152" s="94"/>
    </row>
  </sheetData>
  <sheetProtection formatCells="0" formatColumns="0" formatRows="0" insertColumns="0" insertRows="0" insertHyperlinks="0" deleteColumns="0" deleteRows="0" sort="0" autoFilter="0" pivotTables="0"/>
  <mergeCells count="93">
    <mergeCell ref="G27:H27"/>
    <mergeCell ref="I33:L33"/>
    <mergeCell ref="I25:L25"/>
    <mergeCell ref="I27:L27"/>
    <mergeCell ref="I29:L29"/>
    <mergeCell ref="I31:L31"/>
    <mergeCell ref="G25:H25"/>
    <mergeCell ref="G28:H28"/>
    <mergeCell ref="G29:H29"/>
    <mergeCell ref="G32:H32"/>
    <mergeCell ref="G33:H33"/>
    <mergeCell ref="G7:H7"/>
    <mergeCell ref="I23:L23"/>
    <mergeCell ref="I21:L21"/>
    <mergeCell ref="G22:H22"/>
    <mergeCell ref="G26:H26"/>
    <mergeCell ref="G8:H8"/>
    <mergeCell ref="G24:H24"/>
    <mergeCell ref="G19:H19"/>
    <mergeCell ref="G20:H20"/>
    <mergeCell ref="G21:H21"/>
    <mergeCell ref="G23:H23"/>
    <mergeCell ref="G17:H17"/>
    <mergeCell ref="G18:H18"/>
    <mergeCell ref="G15:H15"/>
    <mergeCell ref="G12:H12"/>
    <mergeCell ref="G9:H9"/>
    <mergeCell ref="I4:L4"/>
    <mergeCell ref="I6:L6"/>
    <mergeCell ref="G4:H4"/>
    <mergeCell ref="G5:H5"/>
    <mergeCell ref="I5:L5"/>
    <mergeCell ref="G13:H13"/>
    <mergeCell ref="G16:H16"/>
    <mergeCell ref="G14:H14"/>
    <mergeCell ref="G11:H11"/>
    <mergeCell ref="G10:H10"/>
    <mergeCell ref="G3:H3"/>
    <mergeCell ref="G1:H2"/>
    <mergeCell ref="E1:E2"/>
    <mergeCell ref="F1:F2"/>
    <mergeCell ref="I3:L3"/>
    <mergeCell ref="A1:A2"/>
    <mergeCell ref="B1:B2"/>
    <mergeCell ref="D1:D2"/>
    <mergeCell ref="C1:C2"/>
    <mergeCell ref="M1:M2"/>
    <mergeCell ref="I1:L1"/>
    <mergeCell ref="G35:H35"/>
    <mergeCell ref="G30:H30"/>
    <mergeCell ref="G34:H34"/>
    <mergeCell ref="G31:H31"/>
    <mergeCell ref="I49:L49"/>
    <mergeCell ref="G47:H47"/>
    <mergeCell ref="G45:H45"/>
    <mergeCell ref="G46:H46"/>
    <mergeCell ref="G41:H41"/>
    <mergeCell ref="I35:L35"/>
    <mergeCell ref="I37:L37"/>
    <mergeCell ref="I39:L39"/>
    <mergeCell ref="I41:L41"/>
    <mergeCell ref="K44:L44"/>
    <mergeCell ref="G67:H67"/>
    <mergeCell ref="G61:H61"/>
    <mergeCell ref="I53:L53"/>
    <mergeCell ref="I55:L55"/>
    <mergeCell ref="G64:H64"/>
    <mergeCell ref="G65:H65"/>
    <mergeCell ref="G59:H59"/>
    <mergeCell ref="G60:H60"/>
    <mergeCell ref="G53:H53"/>
    <mergeCell ref="G55:H55"/>
    <mergeCell ref="I57:L57"/>
    <mergeCell ref="G56:H56"/>
    <mergeCell ref="G62:H62"/>
    <mergeCell ref="G63:H63"/>
    <mergeCell ref="G57:H57"/>
    <mergeCell ref="G51:H51"/>
    <mergeCell ref="I51:L51"/>
    <mergeCell ref="G37:H37"/>
    <mergeCell ref="G36:H36"/>
    <mergeCell ref="G66:H66"/>
    <mergeCell ref="G58:H58"/>
    <mergeCell ref="G39:H39"/>
    <mergeCell ref="G42:H42"/>
    <mergeCell ref="I43:L43"/>
    <mergeCell ref="G43:H43"/>
    <mergeCell ref="I44:J44"/>
    <mergeCell ref="G48:H48"/>
    <mergeCell ref="G49:H49"/>
    <mergeCell ref="G50:H50"/>
    <mergeCell ref="G52:H52"/>
    <mergeCell ref="I47:L4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X78"/>
  <sheetViews>
    <sheetView tabSelected="1" topLeftCell="A4" zoomScale="75" zoomScaleNormal="75" zoomScaleSheetLayoutView="75" workbookViewId="0">
      <selection activeCell="E6" sqref="E6"/>
    </sheetView>
  </sheetViews>
  <sheetFormatPr defaultColWidth="11.42578125" defaultRowHeight="14.25"/>
  <cols>
    <col min="1" max="1" width="2.7109375" style="16" customWidth="1"/>
    <col min="2" max="2" width="7.7109375" style="16" customWidth="1"/>
    <col min="3" max="4" width="10.7109375" style="16" customWidth="1"/>
    <col min="5" max="5" width="8.7109375" style="16" customWidth="1"/>
    <col min="6" max="7" width="10.7109375" style="16" customWidth="1"/>
    <col min="8" max="9" width="8.7109375" style="16" customWidth="1"/>
    <col min="10" max="10" width="2.7109375" style="17" customWidth="1"/>
    <col min="11" max="11" width="2.7109375" style="16" customWidth="1"/>
    <col min="12" max="12" width="5.7109375" style="16" customWidth="1"/>
    <col min="13" max="14" width="12.7109375" style="16" customWidth="1"/>
    <col min="15" max="15" width="13.7109375" style="16" customWidth="1"/>
    <col min="16" max="19" width="8.140625" style="16" customWidth="1"/>
    <col min="20" max="20" width="9.7109375" style="16" customWidth="1"/>
    <col min="21" max="21" width="2.7109375" style="16" customWidth="1"/>
    <col min="22" max="22" width="2.42578125" style="16" customWidth="1"/>
    <col min="23" max="23" width="5.7109375" style="16" hidden="1" customWidth="1"/>
    <col min="24" max="25" width="12.7109375" style="16" customWidth="1"/>
    <col min="26" max="26" width="17.28515625" style="16" customWidth="1"/>
    <col min="27" max="30" width="8.140625" style="16" customWidth="1"/>
    <col min="31" max="31" width="9.7109375" style="16" customWidth="1"/>
    <col min="32" max="33" width="2.7109375" style="16" customWidth="1"/>
    <col min="34" max="34" width="5.7109375" style="16" customWidth="1"/>
    <col min="35" max="36" width="12.7109375" style="16" customWidth="1"/>
    <col min="37" max="37" width="7.7109375" style="16" customWidth="1"/>
    <col min="38" max="41" width="8.140625" style="16" customWidth="1"/>
    <col min="42" max="42" width="9.7109375" style="16" customWidth="1"/>
    <col min="43" max="44" width="2.7109375" style="16" customWidth="1"/>
    <col min="45" max="46" width="5.7109375" style="16" customWidth="1"/>
    <col min="47" max="51" width="10.7109375" style="16" customWidth="1"/>
    <col min="52" max="53" width="5.7109375" style="16" customWidth="1"/>
    <col min="54" max="54" width="5.140625" style="16" customWidth="1"/>
    <col min="55" max="55" width="2.7109375" style="16" customWidth="1"/>
    <col min="56" max="57" width="5.7109375" style="16" customWidth="1"/>
    <col min="58" max="62" width="10.7109375" style="16" customWidth="1"/>
    <col min="63" max="64" width="5.7109375" style="16" customWidth="1"/>
    <col min="65" max="65" width="5.5703125" style="16" customWidth="1"/>
    <col min="66" max="66" width="2.7109375" style="16" customWidth="1"/>
    <col min="67" max="68" width="5.7109375" style="16" customWidth="1"/>
    <col min="69" max="73" width="10.7109375" style="16" customWidth="1"/>
    <col min="74" max="75" width="5.7109375" style="16" customWidth="1"/>
    <col min="76" max="76" width="5.42578125" style="16" customWidth="1"/>
    <col min="77" max="77" width="2.7109375" style="16" customWidth="1"/>
    <col min="78" max="79" width="5.7109375" style="16" customWidth="1"/>
    <col min="80" max="84" width="10.7109375" style="16" customWidth="1"/>
    <col min="85" max="86" width="5.7109375" style="16" customWidth="1"/>
    <col min="87" max="87" width="5.42578125" style="16" customWidth="1"/>
    <col min="88" max="88" width="2.7109375" style="16" customWidth="1"/>
    <col min="89" max="90" width="5.7109375" style="16" customWidth="1"/>
    <col min="91" max="95" width="10.7109375" style="16" customWidth="1"/>
    <col min="96" max="97" width="5.7109375" style="16" customWidth="1"/>
    <col min="98" max="98" width="5.42578125" style="16" customWidth="1"/>
    <col min="99" max="99" width="2.7109375" style="16" customWidth="1"/>
    <col min="100" max="100" width="5.7109375" style="16" customWidth="1"/>
    <col min="101" max="103" width="10.7109375" style="16" customWidth="1"/>
    <col min="104" max="108" width="8.7109375" style="16" customWidth="1"/>
    <col min="109" max="110" width="2.7109375" style="16" customWidth="1"/>
    <col min="111" max="111" width="5.7109375" style="16" customWidth="1"/>
    <col min="112" max="114" width="10.7109375" style="16" customWidth="1"/>
    <col min="115" max="119" width="8.7109375" style="16" customWidth="1"/>
    <col min="120" max="121" width="2.7109375" style="16" customWidth="1"/>
    <col min="122" max="122" width="5.7109375" style="16" customWidth="1"/>
    <col min="123" max="125" width="10.7109375" style="16" customWidth="1"/>
    <col min="126" max="130" width="8.7109375" style="16" customWidth="1"/>
    <col min="131" max="132" width="2.7109375" style="16" customWidth="1"/>
    <col min="133" max="133" width="5.7109375" style="16" customWidth="1"/>
    <col min="134" max="136" width="10.7109375" style="16" customWidth="1"/>
    <col min="137" max="141" width="8.7109375" style="16" customWidth="1"/>
    <col min="142" max="143" width="2.7109375" style="16" customWidth="1"/>
    <col min="144" max="144" width="5.7109375" style="16" customWidth="1"/>
    <col min="145" max="147" width="10.7109375" style="16" customWidth="1"/>
    <col min="148" max="152" width="8.7109375" style="16" customWidth="1"/>
    <col min="153" max="153" width="2.7109375" style="16" customWidth="1"/>
    <col min="154" max="154" width="2.7109375" style="16" hidden="1" customWidth="1"/>
    <col min="155" max="16384" width="11.42578125" style="16"/>
  </cols>
  <sheetData>
    <row r="1" spans="1:154" ht="24.95" customHeight="1">
      <c r="A1" s="18"/>
      <c r="B1" s="19"/>
      <c r="C1" s="19"/>
      <c r="D1" s="19"/>
      <c r="E1" s="19"/>
      <c r="F1" s="19"/>
      <c r="G1" s="19"/>
      <c r="H1" s="19"/>
      <c r="I1" s="19"/>
      <c r="J1" s="20"/>
      <c r="K1" s="58"/>
      <c r="L1" s="59"/>
      <c r="M1" s="59"/>
      <c r="N1" s="59"/>
      <c r="O1" s="59"/>
      <c r="P1" s="59"/>
      <c r="Q1" s="59"/>
      <c r="R1" s="59"/>
      <c r="S1" s="59"/>
      <c r="T1" s="59"/>
      <c r="U1" s="60"/>
      <c r="V1" s="58"/>
      <c r="W1" s="59"/>
      <c r="X1" s="59"/>
      <c r="Y1" s="59"/>
      <c r="Z1" s="59"/>
      <c r="AA1" s="59"/>
      <c r="AB1" s="59"/>
      <c r="AC1" s="59"/>
      <c r="AD1" s="59"/>
      <c r="AE1" s="59"/>
      <c r="AF1" s="60"/>
      <c r="AG1" s="58"/>
      <c r="AH1" s="59"/>
      <c r="AI1" s="59"/>
      <c r="AJ1" s="59"/>
      <c r="AK1" s="59"/>
      <c r="AL1" s="59"/>
      <c r="AM1" s="59"/>
      <c r="AN1" s="59"/>
      <c r="AO1" s="59"/>
      <c r="AP1" s="59"/>
      <c r="AQ1" s="60"/>
      <c r="AR1" s="58"/>
      <c r="AS1" s="59"/>
      <c r="AT1" s="59"/>
      <c r="AU1" s="59"/>
      <c r="AV1" s="59"/>
      <c r="AW1" s="59"/>
      <c r="AX1" s="59"/>
      <c r="AY1" s="59"/>
      <c r="AZ1" s="59"/>
      <c r="BA1" s="59"/>
      <c r="BB1" s="60"/>
      <c r="BC1" s="58"/>
      <c r="BD1" s="59"/>
      <c r="BE1" s="59"/>
      <c r="BF1" s="59"/>
      <c r="BG1" s="59"/>
      <c r="BH1" s="59"/>
      <c r="BI1" s="59"/>
      <c r="BJ1" s="59"/>
      <c r="BK1" s="59"/>
      <c r="BL1" s="59"/>
      <c r="BM1" s="60"/>
      <c r="BN1" s="58"/>
      <c r="BO1" s="59"/>
      <c r="BP1" s="59"/>
      <c r="BQ1" s="59"/>
      <c r="BR1" s="59"/>
      <c r="BS1" s="59"/>
      <c r="BT1" s="59"/>
      <c r="BU1" s="59"/>
      <c r="BV1" s="59"/>
      <c r="BW1" s="59"/>
      <c r="BX1" s="60"/>
      <c r="BY1" s="58"/>
      <c r="BZ1" s="59"/>
      <c r="CA1" s="59"/>
      <c r="CB1" s="59"/>
      <c r="CC1" s="59"/>
      <c r="CD1" s="59"/>
      <c r="CE1" s="59"/>
      <c r="CF1" s="59"/>
      <c r="CG1" s="59"/>
      <c r="CH1" s="59"/>
      <c r="CI1" s="60"/>
      <c r="CJ1" s="58"/>
      <c r="CK1" s="59"/>
      <c r="CL1" s="59"/>
      <c r="CM1" s="59"/>
      <c r="CN1" s="59"/>
      <c r="CO1" s="59"/>
      <c r="CP1" s="59"/>
      <c r="CQ1" s="59"/>
      <c r="CR1" s="59"/>
      <c r="CS1" s="59"/>
      <c r="CT1" s="60"/>
      <c r="CU1" s="58"/>
      <c r="CV1" s="59"/>
      <c r="CW1" s="59"/>
      <c r="CX1" s="59"/>
      <c r="CY1" s="59"/>
      <c r="CZ1" s="59"/>
      <c r="DA1" s="59"/>
      <c r="DB1" s="59"/>
      <c r="DC1" s="59"/>
      <c r="DD1" s="59"/>
      <c r="DE1" s="60"/>
      <c r="DF1" s="58"/>
      <c r="DG1" s="59"/>
      <c r="DH1" s="59"/>
      <c r="DI1" s="59"/>
      <c r="DJ1" s="59"/>
      <c r="DK1" s="59"/>
      <c r="DL1" s="59"/>
      <c r="DM1" s="59"/>
      <c r="DN1" s="59"/>
      <c r="DO1" s="59"/>
      <c r="DP1" s="60"/>
      <c r="DQ1" s="58"/>
      <c r="DR1" s="59"/>
      <c r="DS1" s="59"/>
      <c r="DT1" s="59"/>
      <c r="DU1" s="59"/>
      <c r="DV1" s="59"/>
      <c r="DW1" s="59"/>
      <c r="DX1" s="59"/>
      <c r="DY1" s="59"/>
      <c r="DZ1" s="59"/>
      <c r="EA1" s="60"/>
      <c r="EB1" s="58"/>
      <c r="EC1" s="59"/>
      <c r="ED1" s="59"/>
      <c r="EE1" s="59"/>
      <c r="EF1" s="59"/>
      <c r="EG1" s="59"/>
      <c r="EH1" s="59"/>
      <c r="EI1" s="59"/>
      <c r="EJ1" s="59"/>
      <c r="EK1" s="59"/>
      <c r="EL1" s="60"/>
      <c r="EM1" s="58"/>
      <c r="EN1" s="59"/>
      <c r="EO1" s="59"/>
      <c r="EP1" s="59"/>
      <c r="EQ1" s="59"/>
      <c r="ER1" s="59"/>
      <c r="ES1" s="59"/>
      <c r="ET1" s="59"/>
      <c r="EU1" s="59"/>
      <c r="EV1" s="59"/>
      <c r="EW1" s="60"/>
      <c r="EX1" s="60"/>
    </row>
    <row r="2" spans="1:154" ht="24.95" customHeight="1">
      <c r="A2" s="21"/>
      <c r="B2" s="17"/>
      <c r="C2" s="100"/>
      <c r="D2" s="100"/>
      <c r="E2" s="210" t="s">
        <v>250</v>
      </c>
      <c r="F2" s="210"/>
      <c r="G2" s="210"/>
      <c r="H2" s="210"/>
      <c r="I2" s="100"/>
      <c r="J2" s="22"/>
      <c r="K2" s="61"/>
      <c r="L2" s="190" t="str">
        <f>$C$11</f>
        <v>(A) Performance Indicators</v>
      </c>
      <c r="M2" s="190"/>
      <c r="N2" s="190"/>
      <c r="O2" s="190"/>
      <c r="P2" s="190"/>
      <c r="Q2" s="190"/>
      <c r="R2" s="190"/>
      <c r="S2" s="190"/>
      <c r="T2" s="190"/>
      <c r="U2" s="62"/>
      <c r="V2" s="61"/>
      <c r="W2" s="190" t="str">
        <f>L2</f>
        <v>(A) Performance Indicators</v>
      </c>
      <c r="X2" s="190"/>
      <c r="Y2" s="190"/>
      <c r="Z2" s="190"/>
      <c r="AA2" s="190"/>
      <c r="AB2" s="190"/>
      <c r="AC2" s="190"/>
      <c r="AD2" s="190"/>
      <c r="AE2" s="190"/>
      <c r="AF2" s="62"/>
      <c r="AG2" s="61"/>
      <c r="AH2" s="190" t="str">
        <f>W2</f>
        <v>(A) Performance Indicators</v>
      </c>
      <c r="AI2" s="190"/>
      <c r="AJ2" s="190"/>
      <c r="AK2" s="190"/>
      <c r="AL2" s="190"/>
      <c r="AM2" s="190"/>
      <c r="AN2" s="190"/>
      <c r="AO2" s="190"/>
      <c r="AP2" s="190"/>
      <c r="AQ2" s="62"/>
      <c r="AR2" s="61"/>
      <c r="AS2" s="190" t="str">
        <f>$C$12</f>
        <v>(B) Explanatory Remarks</v>
      </c>
      <c r="AT2" s="190"/>
      <c r="AU2" s="190"/>
      <c r="AV2" s="190"/>
      <c r="AW2" s="190"/>
      <c r="AX2" s="190"/>
      <c r="AY2" s="190"/>
      <c r="AZ2" s="190"/>
      <c r="BA2" s="190"/>
      <c r="BB2" s="62"/>
      <c r="BC2" s="61"/>
      <c r="BD2" s="190" t="str">
        <f>AS2</f>
        <v>(B) Explanatory Remarks</v>
      </c>
      <c r="BE2" s="190"/>
      <c r="BF2" s="190"/>
      <c r="BG2" s="190"/>
      <c r="BH2" s="190"/>
      <c r="BI2" s="190"/>
      <c r="BJ2" s="190"/>
      <c r="BK2" s="190"/>
      <c r="BL2" s="190"/>
      <c r="BM2" s="62"/>
      <c r="BN2" s="61"/>
      <c r="BO2" s="190" t="str">
        <f>BD2</f>
        <v>(B) Explanatory Remarks</v>
      </c>
      <c r="BP2" s="190"/>
      <c r="BQ2" s="190"/>
      <c r="BR2" s="190"/>
      <c r="BS2" s="190"/>
      <c r="BT2" s="190"/>
      <c r="BU2" s="190"/>
      <c r="BV2" s="190"/>
      <c r="BW2" s="190"/>
      <c r="BX2" s="62"/>
      <c r="BY2" s="61"/>
      <c r="BZ2" s="190" t="str">
        <f>BO2</f>
        <v>(B) Explanatory Remarks</v>
      </c>
      <c r="CA2" s="190"/>
      <c r="CB2" s="190"/>
      <c r="CC2" s="190"/>
      <c r="CD2" s="190"/>
      <c r="CE2" s="190"/>
      <c r="CF2" s="190"/>
      <c r="CG2" s="190"/>
      <c r="CH2" s="190"/>
      <c r="CI2" s="62"/>
      <c r="CJ2" s="61"/>
      <c r="CK2" s="190" t="str">
        <f>BZ2</f>
        <v>(B) Explanatory Remarks</v>
      </c>
      <c r="CL2" s="190"/>
      <c r="CM2" s="190"/>
      <c r="CN2" s="190"/>
      <c r="CO2" s="190"/>
      <c r="CP2" s="190"/>
      <c r="CQ2" s="190"/>
      <c r="CR2" s="190"/>
      <c r="CS2" s="190"/>
      <c r="CT2" s="62"/>
      <c r="CU2" s="61"/>
      <c r="CV2" s="190" t="str">
        <f>$C$13</f>
        <v>(C) Definitions</v>
      </c>
      <c r="CW2" s="190"/>
      <c r="CX2" s="190"/>
      <c r="CY2" s="190"/>
      <c r="CZ2" s="190"/>
      <c r="DA2" s="190"/>
      <c r="DB2" s="190"/>
      <c r="DC2" s="190"/>
      <c r="DD2" s="190"/>
      <c r="DE2" s="62"/>
      <c r="DF2" s="61"/>
      <c r="DG2" s="190" t="str">
        <f>CV2</f>
        <v>(C) Definitions</v>
      </c>
      <c r="DH2" s="190"/>
      <c r="DI2" s="190"/>
      <c r="DJ2" s="190"/>
      <c r="DK2" s="190"/>
      <c r="DL2" s="190"/>
      <c r="DM2" s="190"/>
      <c r="DN2" s="190"/>
      <c r="DO2" s="190"/>
      <c r="DP2" s="62"/>
      <c r="DQ2" s="61"/>
      <c r="DR2" s="190" t="str">
        <f>DG2</f>
        <v>(C) Definitions</v>
      </c>
      <c r="DS2" s="190"/>
      <c r="DT2" s="190"/>
      <c r="DU2" s="190"/>
      <c r="DV2" s="190"/>
      <c r="DW2" s="190"/>
      <c r="DX2" s="190"/>
      <c r="DY2" s="190"/>
      <c r="DZ2" s="190"/>
      <c r="EA2" s="62"/>
      <c r="EB2" s="61"/>
      <c r="EC2" s="190" t="str">
        <f>DR2</f>
        <v>(C) Definitions</v>
      </c>
      <c r="ED2" s="190"/>
      <c r="EE2" s="190"/>
      <c r="EF2" s="190"/>
      <c r="EG2" s="190"/>
      <c r="EH2" s="190"/>
      <c r="EI2" s="190"/>
      <c r="EJ2" s="190"/>
      <c r="EK2" s="190"/>
      <c r="EL2" s="62"/>
      <c r="EM2" s="61"/>
      <c r="EN2" s="190" t="str">
        <f>EC2</f>
        <v>(C) Definitions</v>
      </c>
      <c r="EO2" s="190"/>
      <c r="EP2" s="190"/>
      <c r="EQ2" s="190"/>
      <c r="ER2" s="190"/>
      <c r="ES2" s="190"/>
      <c r="ET2" s="190"/>
      <c r="EU2" s="190"/>
      <c r="EV2" s="190"/>
      <c r="EW2" s="62"/>
      <c r="EX2" s="62"/>
    </row>
    <row r="3" spans="1:154" ht="24.95" customHeight="1">
      <c r="A3" s="21"/>
      <c r="B3" s="23"/>
      <c r="C3" s="24"/>
      <c r="D3" s="24"/>
      <c r="E3" s="211" t="s">
        <v>251</v>
      </c>
      <c r="F3" s="211"/>
      <c r="G3" s="211"/>
      <c r="H3" s="211"/>
      <c r="I3" s="23"/>
      <c r="J3" s="22"/>
      <c r="K3" s="61"/>
      <c r="L3" s="191" t="s">
        <v>13</v>
      </c>
      <c r="M3" s="191"/>
      <c r="N3" s="191"/>
      <c r="O3" s="191"/>
      <c r="P3" s="191"/>
      <c r="Q3" s="191"/>
      <c r="R3" s="191"/>
      <c r="S3" s="191"/>
      <c r="T3" s="191"/>
      <c r="U3" s="62"/>
      <c r="V3" s="61"/>
      <c r="W3" s="191" t="s">
        <v>38</v>
      </c>
      <c r="X3" s="191"/>
      <c r="Y3" s="191"/>
      <c r="Z3" s="191"/>
      <c r="AA3" s="191"/>
      <c r="AB3" s="191"/>
      <c r="AC3" s="191"/>
      <c r="AD3" s="191"/>
      <c r="AE3" s="191"/>
      <c r="AF3" s="62"/>
      <c r="AG3" s="61"/>
      <c r="AH3" s="191" t="str">
        <f>W3</f>
        <v>Cifre se automatski izračunavaju</v>
      </c>
      <c r="AI3" s="191"/>
      <c r="AJ3" s="191"/>
      <c r="AK3" s="191"/>
      <c r="AL3" s="191"/>
      <c r="AM3" s="191"/>
      <c r="AN3" s="191"/>
      <c r="AO3" s="191"/>
      <c r="AP3" s="191"/>
      <c r="AQ3" s="62"/>
      <c r="AR3" s="61"/>
      <c r="AS3" s="191" t="s">
        <v>39</v>
      </c>
      <c r="AT3" s="191"/>
      <c r="AU3" s="191"/>
      <c r="AV3" s="191"/>
      <c r="AW3" s="191"/>
      <c r="AX3" s="191"/>
      <c r="AY3" s="191"/>
      <c r="AZ3" s="191"/>
      <c r="BA3" s="191"/>
      <c r="BB3" s="62"/>
      <c r="BC3" s="61"/>
      <c r="BD3" s="191" t="str">
        <f>AS3</f>
        <v>[Napisati rukopisom napomene]</v>
      </c>
      <c r="BE3" s="191"/>
      <c r="BF3" s="191"/>
      <c r="BG3" s="191"/>
      <c r="BH3" s="191"/>
      <c r="BI3" s="191"/>
      <c r="BJ3" s="191"/>
      <c r="BK3" s="191"/>
      <c r="BL3" s="191"/>
      <c r="BM3" s="62"/>
      <c r="BN3" s="61"/>
      <c r="BO3" s="191" t="str">
        <f>BD3</f>
        <v>[Napisati rukopisom napomene]</v>
      </c>
      <c r="BP3" s="191"/>
      <c r="BQ3" s="191"/>
      <c r="BR3" s="191"/>
      <c r="BS3" s="191"/>
      <c r="BT3" s="191"/>
      <c r="BU3" s="191"/>
      <c r="BV3" s="191"/>
      <c r="BW3" s="191"/>
      <c r="BX3" s="62"/>
      <c r="BY3" s="61"/>
      <c r="BZ3" s="191" t="str">
        <f>BO3</f>
        <v>[Napisati rukopisom napomene]</v>
      </c>
      <c r="CA3" s="191"/>
      <c r="CB3" s="191"/>
      <c r="CC3" s="191"/>
      <c r="CD3" s="191"/>
      <c r="CE3" s="191"/>
      <c r="CF3" s="191"/>
      <c r="CG3" s="191"/>
      <c r="CH3" s="191"/>
      <c r="CI3" s="62"/>
      <c r="CJ3" s="61"/>
      <c r="CK3" s="191" t="str">
        <f>BZ3</f>
        <v>[Napisati rukopisom napomene]</v>
      </c>
      <c r="CL3" s="191"/>
      <c r="CM3" s="191"/>
      <c r="CN3" s="191"/>
      <c r="CO3" s="191"/>
      <c r="CP3" s="191"/>
      <c r="CQ3" s="191"/>
      <c r="CR3" s="191"/>
      <c r="CS3" s="191"/>
      <c r="CT3" s="62"/>
      <c r="CU3" s="61"/>
      <c r="CV3" s="191"/>
      <c r="CW3" s="191"/>
      <c r="CX3" s="191"/>
      <c r="CY3" s="191"/>
      <c r="CZ3" s="191"/>
      <c r="DA3" s="191"/>
      <c r="DB3" s="191"/>
      <c r="DC3" s="191"/>
      <c r="DD3" s="191"/>
      <c r="DE3" s="62"/>
      <c r="DF3" s="61"/>
      <c r="DG3" s="191"/>
      <c r="DH3" s="191"/>
      <c r="DI3" s="191"/>
      <c r="DJ3" s="191"/>
      <c r="DK3" s="191"/>
      <c r="DL3" s="191"/>
      <c r="DM3" s="191"/>
      <c r="DN3" s="191"/>
      <c r="DO3" s="191"/>
      <c r="DP3" s="62"/>
      <c r="DQ3" s="61"/>
      <c r="DR3" s="191"/>
      <c r="DS3" s="191"/>
      <c r="DT3" s="191"/>
      <c r="DU3" s="191"/>
      <c r="DV3" s="191"/>
      <c r="DW3" s="191"/>
      <c r="DX3" s="191"/>
      <c r="DY3" s="191"/>
      <c r="DZ3" s="191"/>
      <c r="EA3" s="62"/>
      <c r="EB3" s="61"/>
      <c r="EC3" s="191"/>
      <c r="ED3" s="191"/>
      <c r="EE3" s="191"/>
      <c r="EF3" s="191"/>
      <c r="EG3" s="191"/>
      <c r="EH3" s="191"/>
      <c r="EI3" s="191"/>
      <c r="EJ3" s="191"/>
      <c r="EK3" s="191"/>
      <c r="EL3" s="62"/>
      <c r="EM3" s="61"/>
      <c r="EN3" s="191"/>
      <c r="EO3" s="191"/>
      <c r="EP3" s="191"/>
      <c r="EQ3" s="191"/>
      <c r="ER3" s="191"/>
      <c r="ES3" s="191"/>
      <c r="ET3" s="191"/>
      <c r="EU3" s="191"/>
      <c r="EV3" s="191"/>
      <c r="EW3" s="62"/>
      <c r="EX3" s="62"/>
    </row>
    <row r="4" spans="1:154" ht="35.1" customHeight="1">
      <c r="A4" s="21"/>
      <c r="B4" s="24"/>
      <c r="C4" s="186"/>
      <c r="D4" s="186"/>
      <c r="E4" s="182" t="s">
        <v>67</v>
      </c>
      <c r="F4" s="182"/>
      <c r="G4" s="182"/>
      <c r="H4" s="182"/>
      <c r="I4" s="38"/>
      <c r="J4" s="22"/>
      <c r="K4" s="61"/>
      <c r="L4" s="178" t="str">
        <f>'Obracun indikatora uspjesnosti'!$C$1</f>
        <v>No.</v>
      </c>
      <c r="M4" s="149" t="s">
        <v>35</v>
      </c>
      <c r="N4" s="150"/>
      <c r="O4" s="157" t="str">
        <f>'input data'!$D$1</f>
        <v>Unit</v>
      </c>
      <c r="P4" s="140" t="str">
        <f>'Obracun indikatora uspjesnosti'!$I$1</f>
        <v>Quarterly results</v>
      </c>
      <c r="Q4" s="141"/>
      <c r="R4" s="141"/>
      <c r="S4" s="142"/>
      <c r="T4" s="155" t="s">
        <v>20</v>
      </c>
      <c r="U4" s="62"/>
      <c r="V4" s="61"/>
      <c r="W4" s="178" t="str">
        <f>$L$4</f>
        <v>No.</v>
      </c>
      <c r="X4" s="149" t="s">
        <v>33</v>
      </c>
      <c r="Y4" s="150"/>
      <c r="Z4" s="157" t="s">
        <v>34</v>
      </c>
      <c r="AA4" s="140" t="str">
        <f>$P$4</f>
        <v>Quarterly results</v>
      </c>
      <c r="AB4" s="141"/>
      <c r="AC4" s="141"/>
      <c r="AD4" s="142"/>
      <c r="AE4" s="155" t="s">
        <v>20</v>
      </c>
      <c r="AF4" s="62"/>
      <c r="AG4" s="61"/>
      <c r="AH4" s="178" t="str">
        <f>$L$4</f>
        <v>No.</v>
      </c>
      <c r="AI4" s="149" t="s">
        <v>33</v>
      </c>
      <c r="AJ4" s="150"/>
      <c r="AK4" s="157" t="s">
        <v>34</v>
      </c>
      <c r="AL4" s="140" t="str">
        <f>$P$4</f>
        <v>Quarterly results</v>
      </c>
      <c r="AM4" s="141"/>
      <c r="AN4" s="141"/>
      <c r="AO4" s="142"/>
      <c r="AP4" s="155" t="s">
        <v>36</v>
      </c>
      <c r="AQ4" s="62"/>
      <c r="AR4" s="61"/>
      <c r="AS4" s="178" t="str">
        <f>L4</f>
        <v>No.</v>
      </c>
      <c r="AT4" s="200" t="s">
        <v>40</v>
      </c>
      <c r="AU4" s="149" t="s">
        <v>41</v>
      </c>
      <c r="AV4" s="202"/>
      <c r="AW4" s="203"/>
      <c r="AX4" s="149" t="s">
        <v>42</v>
      </c>
      <c r="AY4" s="180"/>
      <c r="AZ4" s="180"/>
      <c r="BA4" s="150"/>
      <c r="BB4" s="62"/>
      <c r="BC4" s="61"/>
      <c r="BD4" s="178" t="str">
        <f>W4</f>
        <v>No.</v>
      </c>
      <c r="BE4" s="200" t="str">
        <f>AT4</f>
        <v>Neuobičajena odstupanja
deviation ?</v>
      </c>
      <c r="BF4" s="149" t="str">
        <f>AU4</f>
        <v>Razlozi za devijaciju</v>
      </c>
      <c r="BG4" s="202"/>
      <c r="BH4" s="203"/>
      <c r="BI4" s="149" t="str">
        <f>AX4</f>
        <v>Prijedlog korektivnih mjera</v>
      </c>
      <c r="BJ4" s="180"/>
      <c r="BK4" s="180"/>
      <c r="BL4" s="150"/>
      <c r="BM4" s="62"/>
      <c r="BN4" s="61"/>
      <c r="BO4" s="178" t="str">
        <f>AH4</f>
        <v>No.</v>
      </c>
      <c r="BP4" s="200" t="str">
        <f>BE4</f>
        <v>Neuobičajena odstupanja
deviation ?</v>
      </c>
      <c r="BQ4" s="149" t="str">
        <f>BF4</f>
        <v>Razlozi za devijaciju</v>
      </c>
      <c r="BR4" s="202"/>
      <c r="BS4" s="203"/>
      <c r="BT4" s="149" t="str">
        <f>BI4</f>
        <v>Prijedlog korektivnih mjera</v>
      </c>
      <c r="BU4" s="180"/>
      <c r="BV4" s="180"/>
      <c r="BW4" s="150"/>
      <c r="BX4" s="62"/>
      <c r="BY4" s="61"/>
      <c r="BZ4" s="178" t="e">
        <f>#REF!</f>
        <v>#REF!</v>
      </c>
      <c r="CA4" s="200" t="str">
        <f>BP4</f>
        <v>Neuobičajena odstupanja
deviation ?</v>
      </c>
      <c r="CB4" s="149" t="str">
        <f>BQ4</f>
        <v>Razlozi za devijaciju</v>
      </c>
      <c r="CC4" s="202"/>
      <c r="CD4" s="203"/>
      <c r="CE4" s="149" t="str">
        <f>BT4</f>
        <v>Prijedlog korektivnih mjera</v>
      </c>
      <c r="CF4" s="180"/>
      <c r="CG4" s="180"/>
      <c r="CH4" s="150"/>
      <c r="CI4" s="62"/>
      <c r="CJ4" s="61"/>
      <c r="CK4" s="178" t="str">
        <f>AS4</f>
        <v>No.</v>
      </c>
      <c r="CL4" s="200" t="str">
        <f>CA4</f>
        <v>Neuobičajena odstupanja
deviation ?</v>
      </c>
      <c r="CM4" s="149" t="str">
        <f>CB4</f>
        <v>Razlozi za devijaciju</v>
      </c>
      <c r="CN4" s="202"/>
      <c r="CO4" s="203"/>
      <c r="CP4" s="149" t="str">
        <f>CE4</f>
        <v>Prijedlog korektivnih mjera</v>
      </c>
      <c r="CQ4" s="180"/>
      <c r="CR4" s="180"/>
      <c r="CS4" s="150"/>
      <c r="CT4" s="62"/>
      <c r="CU4" s="61"/>
      <c r="CV4" s="64" t="str">
        <f>AS4</f>
        <v>No.</v>
      </c>
      <c r="CW4" s="192" t="s">
        <v>0</v>
      </c>
      <c r="CX4" s="193"/>
      <c r="CY4" s="194"/>
      <c r="CZ4" s="140" t="s">
        <v>8</v>
      </c>
      <c r="DA4" s="141"/>
      <c r="DB4" s="141"/>
      <c r="DC4" s="141"/>
      <c r="DD4" s="142"/>
      <c r="DE4" s="62"/>
      <c r="DF4" s="61"/>
      <c r="DG4" s="57" t="str">
        <f>CV4</f>
        <v>No.</v>
      </c>
      <c r="DH4" s="192" t="str">
        <f>CW4</f>
        <v>Name</v>
      </c>
      <c r="DI4" s="193"/>
      <c r="DJ4" s="194"/>
      <c r="DK4" s="140" t="str">
        <f>CZ4</f>
        <v>Definition</v>
      </c>
      <c r="DL4" s="141"/>
      <c r="DM4" s="141"/>
      <c r="DN4" s="141"/>
      <c r="DO4" s="142"/>
      <c r="DP4" s="62"/>
      <c r="DQ4" s="61"/>
      <c r="DR4" s="57" t="str">
        <f>DG4</f>
        <v>No.</v>
      </c>
      <c r="DS4" s="192" t="s">
        <v>19</v>
      </c>
      <c r="DT4" s="193"/>
      <c r="DU4" s="194"/>
      <c r="DV4" s="140" t="s">
        <v>37</v>
      </c>
      <c r="DW4" s="141"/>
      <c r="DX4" s="141"/>
      <c r="DY4" s="141"/>
      <c r="DZ4" s="142"/>
      <c r="EA4" s="62"/>
      <c r="EB4" s="61"/>
      <c r="EC4" s="57" t="str">
        <f>DR4</f>
        <v>No.</v>
      </c>
      <c r="ED4" s="192" t="str">
        <f>DS4</f>
        <v>Naziv</v>
      </c>
      <c r="EE4" s="193"/>
      <c r="EF4" s="194"/>
      <c r="EG4" s="140" t="str">
        <f>DV4</f>
        <v>Definicija</v>
      </c>
      <c r="EH4" s="141"/>
      <c r="EI4" s="141"/>
      <c r="EJ4" s="141"/>
      <c r="EK4" s="142"/>
      <c r="EL4" s="62"/>
      <c r="EM4" s="61"/>
      <c r="EN4" s="57" t="str">
        <f>EC4</f>
        <v>No.</v>
      </c>
      <c r="EO4" s="192" t="str">
        <f>ED4</f>
        <v>Naziv</v>
      </c>
      <c r="EP4" s="193"/>
      <c r="EQ4" s="194"/>
      <c r="ER4" s="140" t="str">
        <f>EG4</f>
        <v>Definicija</v>
      </c>
      <c r="ES4" s="141"/>
      <c r="ET4" s="141"/>
      <c r="EU4" s="141"/>
      <c r="EV4" s="142"/>
      <c r="EW4" s="62"/>
      <c r="EX4" s="62"/>
    </row>
    <row r="5" spans="1:154" ht="35.1" customHeight="1">
      <c r="A5" s="21"/>
      <c r="B5" s="24"/>
      <c r="C5" s="24"/>
      <c r="D5" s="24"/>
      <c r="E5" s="32"/>
      <c r="F5" s="32"/>
      <c r="G5" s="32"/>
      <c r="H5" s="32"/>
      <c r="I5" s="32"/>
      <c r="J5" s="22"/>
      <c r="K5" s="61"/>
      <c r="L5" s="199"/>
      <c r="M5" s="151"/>
      <c r="N5" s="152"/>
      <c r="O5" s="158"/>
      <c r="P5" s="57" t="str">
        <f>'input data'!$H$2</f>
        <v>I</v>
      </c>
      <c r="Q5" s="57" t="str">
        <f>'input data'!$L$2</f>
        <v>II</v>
      </c>
      <c r="R5" s="57" t="str">
        <f>'input data'!$P$2</f>
        <v>III</v>
      </c>
      <c r="S5" s="57" t="str">
        <f>'input data'!$T$2</f>
        <v>IV</v>
      </c>
      <c r="T5" s="159"/>
      <c r="U5" s="62"/>
      <c r="V5" s="61"/>
      <c r="W5" s="199"/>
      <c r="X5" s="151"/>
      <c r="Y5" s="152"/>
      <c r="Z5" s="158"/>
      <c r="AA5" s="57" t="str">
        <f>'input data'!$H$2</f>
        <v>I</v>
      </c>
      <c r="AB5" s="57" t="str">
        <f>'input data'!$L$2</f>
        <v>II</v>
      </c>
      <c r="AC5" s="57" t="str">
        <f>'input data'!$P$2</f>
        <v>III</v>
      </c>
      <c r="AD5" s="57" t="str">
        <f>'input data'!$T$2</f>
        <v>IV</v>
      </c>
      <c r="AE5" s="159"/>
      <c r="AF5" s="62"/>
      <c r="AG5" s="61"/>
      <c r="AH5" s="199"/>
      <c r="AI5" s="151"/>
      <c r="AJ5" s="152"/>
      <c r="AK5" s="158"/>
      <c r="AL5" s="57" t="str">
        <f>'input data'!$H$2</f>
        <v>I</v>
      </c>
      <c r="AM5" s="57" t="str">
        <f>'input data'!$L$2</f>
        <v>II</v>
      </c>
      <c r="AN5" s="57" t="str">
        <f>'input data'!$P$2</f>
        <v>III</v>
      </c>
      <c r="AO5" s="57" t="str">
        <f>'input data'!$T$2</f>
        <v>IV</v>
      </c>
      <c r="AP5" s="159"/>
      <c r="AQ5" s="62"/>
      <c r="AR5" s="61"/>
      <c r="AS5" s="199"/>
      <c r="AT5" s="201"/>
      <c r="AU5" s="204"/>
      <c r="AV5" s="205"/>
      <c r="AW5" s="206"/>
      <c r="AX5" s="151"/>
      <c r="AY5" s="181"/>
      <c r="AZ5" s="181"/>
      <c r="BA5" s="152"/>
      <c r="BB5" s="62"/>
      <c r="BC5" s="61"/>
      <c r="BD5" s="199"/>
      <c r="BE5" s="201"/>
      <c r="BF5" s="204"/>
      <c r="BG5" s="205"/>
      <c r="BH5" s="206"/>
      <c r="BI5" s="151"/>
      <c r="BJ5" s="181"/>
      <c r="BK5" s="181"/>
      <c r="BL5" s="152"/>
      <c r="BM5" s="62"/>
      <c r="BN5" s="61"/>
      <c r="BO5" s="199"/>
      <c r="BP5" s="201"/>
      <c r="BQ5" s="204"/>
      <c r="BR5" s="205"/>
      <c r="BS5" s="206"/>
      <c r="BT5" s="151"/>
      <c r="BU5" s="181"/>
      <c r="BV5" s="181"/>
      <c r="BW5" s="152"/>
      <c r="BX5" s="62"/>
      <c r="BY5" s="61"/>
      <c r="BZ5" s="199"/>
      <c r="CA5" s="201"/>
      <c r="CB5" s="204"/>
      <c r="CC5" s="205"/>
      <c r="CD5" s="206"/>
      <c r="CE5" s="151"/>
      <c r="CF5" s="181"/>
      <c r="CG5" s="181"/>
      <c r="CH5" s="152"/>
      <c r="CI5" s="62"/>
      <c r="CJ5" s="61"/>
      <c r="CK5" s="199"/>
      <c r="CL5" s="201"/>
      <c r="CM5" s="204"/>
      <c r="CN5" s="205"/>
      <c r="CO5" s="206"/>
      <c r="CP5" s="151"/>
      <c r="CQ5" s="181"/>
      <c r="CR5" s="181"/>
      <c r="CS5" s="152"/>
      <c r="CT5" s="62"/>
      <c r="CU5" s="61"/>
      <c r="CV5" s="178">
        <v>1</v>
      </c>
      <c r="CW5" s="172" t="str">
        <f>+'Obracun indikatora uspjesnosti'!D3</f>
        <v>Water Coverage (Ratio)</v>
      </c>
      <c r="CX5" s="173"/>
      <c r="CY5" s="174"/>
      <c r="CZ5" s="172" t="str">
        <f>+'Obracun indikatora uspjesnosti'!E3</f>
        <v>Stanovništvo koje ima pristup uslugama  (bilo putem direktnog priključenja ili putem javne česme)  kao postotak ukupnog broja stanovnika koje je pod odgovornošću općine</v>
      </c>
      <c r="DA5" s="173"/>
      <c r="DB5" s="173"/>
      <c r="DC5" s="173"/>
      <c r="DD5" s="174"/>
      <c r="DE5" s="62"/>
      <c r="DF5" s="61"/>
      <c r="DG5" s="178">
        <f>CV19+1</f>
        <v>9</v>
      </c>
      <c r="DH5" s="172" t="str">
        <f>+'Obracun indikatora uspjesnosti'!D19</f>
        <v>Non revenue water (very rough estimation!!!)</v>
      </c>
      <c r="DI5" s="173"/>
      <c r="DJ5" s="174"/>
      <c r="DK5" s="172" t="str">
        <f>+'Obracun indikatora uspjesnosti'!E19</f>
        <v>Zapremina "gubitaka" po km distributivne mreže</v>
      </c>
      <c r="DL5" s="173"/>
      <c r="DM5" s="173"/>
      <c r="DN5" s="173"/>
      <c r="DO5" s="174"/>
      <c r="DP5" s="62"/>
      <c r="DQ5" s="61"/>
      <c r="DR5" s="178">
        <f>DG19+1</f>
        <v>17</v>
      </c>
      <c r="DS5" s="172" t="str">
        <f>+'Obracun indikatora uspjesnosti'!D35</f>
        <v>Other costs as a proportion of Direct Operating costs for water operations</v>
      </c>
      <c r="DT5" s="173"/>
      <c r="DU5" s="174"/>
      <c r="DV5" s="172" t="str">
        <f>+'Obracun indikatora uspjesnosti'!E35</f>
        <v>Ukupni ostali troškovi izraženi postotkom ukupnih godišnjih operativnih troškova (isključujući amortizaciju, kamatu i kredit) za vodu</v>
      </c>
      <c r="DW5" s="173"/>
      <c r="DX5" s="173"/>
      <c r="DY5" s="173"/>
      <c r="DZ5" s="174"/>
      <c r="EA5" s="62"/>
      <c r="EB5" s="61"/>
      <c r="EC5" s="178">
        <f>DR19+1</f>
        <v>25</v>
      </c>
      <c r="ED5" s="172" t="str">
        <f>+'Obracun indikatora uspjesnosti'!D51</f>
        <v>Operating cost coverage from subsidies</v>
      </c>
      <c r="EE5" s="173"/>
      <c r="EF5" s="174"/>
      <c r="EG5" s="172" t="str">
        <f>+'Obracun indikatora uspjesnosti'!E51</f>
        <v>ukupne godišnje subvencije / ukupni godišnji operativni troškovi, izraženi procentom</v>
      </c>
      <c r="EH5" s="173"/>
      <c r="EI5" s="173"/>
      <c r="EJ5" s="173"/>
      <c r="EK5" s="174"/>
      <c r="EL5" s="62"/>
      <c r="EM5" s="61"/>
      <c r="EN5" s="178">
        <f>EC19+1</f>
        <v>33</v>
      </c>
      <c r="EO5" s="172" t="str">
        <f>+'Obracun indikatora uspjesnosti'!D67</f>
        <v>Water interruptions</v>
      </c>
      <c r="EP5" s="173"/>
      <c r="EQ5" s="174"/>
      <c r="ER5" s="172" t="str">
        <f>+'Obracun indikatora uspjesnosti'!E67</f>
        <v>Ukupan broj prekida u vodoopskrbi koje traju duže od 5 min / 1,000 priključaka</v>
      </c>
      <c r="ES5" s="173"/>
      <c r="ET5" s="173"/>
      <c r="EU5" s="173"/>
      <c r="EV5" s="174"/>
      <c r="EW5" s="62"/>
      <c r="EX5" s="62"/>
    </row>
    <row r="6" spans="1:154" ht="45" customHeight="1">
      <c r="A6" s="21"/>
      <c r="B6" s="23"/>
      <c r="C6" s="187" t="s">
        <v>252</v>
      </c>
      <c r="D6" s="187"/>
      <c r="E6" s="51">
        <v>4</v>
      </c>
      <c r="F6" s="34"/>
      <c r="G6" s="34" t="s">
        <v>253</v>
      </c>
      <c r="H6" s="51">
        <v>2013</v>
      </c>
      <c r="I6" s="23"/>
      <c r="J6" s="22"/>
      <c r="K6" s="61"/>
      <c r="L6" s="57">
        <v>1</v>
      </c>
      <c r="M6" s="143" t="str">
        <f>+'Obracun indikatora uspjesnosti'!D3</f>
        <v>Water Coverage (Ratio)</v>
      </c>
      <c r="N6" s="153"/>
      <c r="O6" s="46" t="str">
        <f>+'Obracun indikatora uspjesnosti'!F3</f>
        <v>%</v>
      </c>
      <c r="P6" s="146" t="s">
        <v>269</v>
      </c>
      <c r="Q6" s="147"/>
      <c r="R6" s="147"/>
      <c r="S6" s="148"/>
      <c r="T6" s="71">
        <f>+'Obracun indikatora uspjesnosti'!M3</f>
        <v>0.81818181818181823</v>
      </c>
      <c r="U6" s="62"/>
      <c r="V6" s="61"/>
      <c r="W6" s="57">
        <f>L21+1</f>
        <v>17</v>
      </c>
      <c r="X6" s="143" t="str">
        <f>+'Obracun indikatora uspjesnosti'!D35</f>
        <v>Other costs as a proportion of Direct Operating costs for water operations</v>
      </c>
      <c r="Y6" s="145"/>
      <c r="Z6" s="46" t="str">
        <f>+'Obracun indikatora uspjesnosti'!F35</f>
        <v>%</v>
      </c>
      <c r="AA6" s="146" t="s">
        <v>269</v>
      </c>
      <c r="AB6" s="147"/>
      <c r="AC6" s="147"/>
      <c r="AD6" s="148"/>
      <c r="AE6" s="71">
        <f>+'Obracun indikatora uspjesnosti'!M35</f>
        <v>0</v>
      </c>
      <c r="AF6" s="62"/>
      <c r="AG6" s="61"/>
      <c r="AH6" s="57">
        <f>W21+1</f>
        <v>33</v>
      </c>
      <c r="AI6" s="143" t="str">
        <f>+'Obracun indikatora uspjesnosti'!D67</f>
        <v>Water interruptions</v>
      </c>
      <c r="AJ6" s="145"/>
      <c r="AK6" s="46" t="str">
        <f>+'Obracun indikatora uspjesnosti'!F67</f>
        <v>No. / 1,000
connections</v>
      </c>
      <c r="AL6" s="71">
        <f>+'Obracun indikatora uspjesnosti'!I67</f>
        <v>0</v>
      </c>
      <c r="AM6" s="71">
        <f>+'Obracun indikatora uspjesnosti'!J67</f>
        <v>0</v>
      </c>
      <c r="AN6" s="71">
        <f>+'Obracun indikatora uspjesnosti'!K67</f>
        <v>1.2454075596238868E-7</v>
      </c>
      <c r="AO6" s="71">
        <f>+'Obracun indikatora uspjesnosti'!L67</f>
        <v>0</v>
      </c>
      <c r="AP6" s="71">
        <f>+'Obracun indikatora uspjesnosti'!M67</f>
        <v>3.1135188990597171E-8</v>
      </c>
      <c r="AQ6" s="62"/>
      <c r="AR6" s="61"/>
      <c r="AS6" s="155">
        <v>1</v>
      </c>
      <c r="AT6" s="154"/>
      <c r="AU6" s="160"/>
      <c r="AV6" s="161"/>
      <c r="AW6" s="162"/>
      <c r="AX6" s="166"/>
      <c r="AY6" s="167"/>
      <c r="AZ6" s="167"/>
      <c r="BA6" s="168"/>
      <c r="BB6" s="62"/>
      <c r="BC6" s="61"/>
      <c r="BD6" s="155">
        <f>AS20+1</f>
        <v>9</v>
      </c>
      <c r="BE6" s="154"/>
      <c r="BF6" s="160"/>
      <c r="BG6" s="161"/>
      <c r="BH6" s="162"/>
      <c r="BI6" s="166"/>
      <c r="BJ6" s="167"/>
      <c r="BK6" s="167"/>
      <c r="BL6" s="168"/>
      <c r="BM6" s="62"/>
      <c r="BN6" s="61"/>
      <c r="BO6" s="155">
        <f>BD20+1</f>
        <v>17</v>
      </c>
      <c r="BP6" s="160"/>
      <c r="BQ6" s="160"/>
      <c r="BR6" s="161"/>
      <c r="BS6" s="162"/>
      <c r="BT6" s="166"/>
      <c r="BU6" s="167"/>
      <c r="BV6" s="167"/>
      <c r="BW6" s="168"/>
      <c r="BX6" s="62"/>
      <c r="BY6" s="61"/>
      <c r="BZ6" s="155">
        <f>BO20+1</f>
        <v>25</v>
      </c>
      <c r="CA6" s="160"/>
      <c r="CB6" s="160"/>
      <c r="CC6" s="161"/>
      <c r="CD6" s="162"/>
      <c r="CE6" s="166"/>
      <c r="CF6" s="167"/>
      <c r="CG6" s="167"/>
      <c r="CH6" s="168"/>
      <c r="CI6" s="62"/>
      <c r="CJ6" s="61"/>
      <c r="CK6" s="155">
        <f>BZ20+1</f>
        <v>33</v>
      </c>
      <c r="CL6" s="160"/>
      <c r="CM6" s="160"/>
      <c r="CN6" s="161"/>
      <c r="CO6" s="162"/>
      <c r="CP6" s="166"/>
      <c r="CQ6" s="167"/>
      <c r="CR6" s="167"/>
      <c r="CS6" s="168"/>
      <c r="CT6" s="62"/>
      <c r="CU6" s="61"/>
      <c r="CV6" s="179"/>
      <c r="CW6" s="175"/>
      <c r="CX6" s="176"/>
      <c r="CY6" s="177"/>
      <c r="CZ6" s="175"/>
      <c r="DA6" s="176"/>
      <c r="DB6" s="176"/>
      <c r="DC6" s="176"/>
      <c r="DD6" s="177"/>
      <c r="DE6" s="62"/>
      <c r="DF6" s="61"/>
      <c r="DG6" s="179"/>
      <c r="DH6" s="175"/>
      <c r="DI6" s="176"/>
      <c r="DJ6" s="177"/>
      <c r="DK6" s="175"/>
      <c r="DL6" s="176"/>
      <c r="DM6" s="176"/>
      <c r="DN6" s="176"/>
      <c r="DO6" s="177"/>
      <c r="DP6" s="62"/>
      <c r="DQ6" s="61"/>
      <c r="DR6" s="179"/>
      <c r="DS6" s="175"/>
      <c r="DT6" s="176"/>
      <c r="DU6" s="177"/>
      <c r="DV6" s="175"/>
      <c r="DW6" s="176"/>
      <c r="DX6" s="176"/>
      <c r="DY6" s="176"/>
      <c r="DZ6" s="177"/>
      <c r="EA6" s="62"/>
      <c r="EB6" s="61"/>
      <c r="EC6" s="179"/>
      <c r="ED6" s="175"/>
      <c r="EE6" s="176"/>
      <c r="EF6" s="177"/>
      <c r="EG6" s="175"/>
      <c r="EH6" s="176"/>
      <c r="EI6" s="176"/>
      <c r="EJ6" s="176"/>
      <c r="EK6" s="177"/>
      <c r="EL6" s="62"/>
      <c r="EM6" s="61"/>
      <c r="EN6" s="179"/>
      <c r="EO6" s="175"/>
      <c r="EP6" s="176"/>
      <c r="EQ6" s="177"/>
      <c r="ER6" s="175"/>
      <c r="ES6" s="176"/>
      <c r="ET6" s="176"/>
      <c r="EU6" s="176"/>
      <c r="EV6" s="177"/>
      <c r="EW6" s="62"/>
      <c r="EX6" s="62"/>
    </row>
    <row r="7" spans="1:154" ht="46.9" customHeight="1">
      <c r="A7" s="21"/>
      <c r="B7" s="23"/>
      <c r="C7" s="23"/>
      <c r="D7" s="23"/>
      <c r="E7" s="116" t="s">
        <v>254</v>
      </c>
      <c r="F7" s="23"/>
      <c r="G7" s="23"/>
      <c r="H7" s="33"/>
      <c r="I7" s="23"/>
      <c r="J7" s="22"/>
      <c r="K7" s="61"/>
      <c r="L7" s="57">
        <f t="shared" ref="L7:L21" si="0">L6+1</f>
        <v>2</v>
      </c>
      <c r="M7" s="143" t="str">
        <f>+'Obracun indikatora uspjesnosti'!D5</f>
        <v>Wastewater Coverage (Ratio)</v>
      </c>
      <c r="N7" s="145"/>
      <c r="O7" s="46" t="str">
        <f>+'Obracun indikatora uspjesnosti'!F5</f>
        <v>%</v>
      </c>
      <c r="P7" s="146" t="s">
        <v>269</v>
      </c>
      <c r="Q7" s="147"/>
      <c r="R7" s="147"/>
      <c r="S7" s="148"/>
      <c r="T7" s="71">
        <f>+'Obracun indikatora uspjesnosti'!M5</f>
        <v>0.20454545454545456</v>
      </c>
      <c r="U7" s="62"/>
      <c r="V7" s="61"/>
      <c r="W7" s="57">
        <f t="shared" ref="W7:W21" si="1">W6+1</f>
        <v>18</v>
      </c>
      <c r="X7" s="143" t="str">
        <f>+'Obracun indikatora uspjesnosti'!D37</f>
        <v>Other costs as a proportion of Direct Operating costs for waste water operations</v>
      </c>
      <c r="Y7" s="145"/>
      <c r="Z7" s="46" t="str">
        <f>+'Obracun indikatora uspjesnosti'!F37</f>
        <v>%</v>
      </c>
      <c r="AA7" s="146" t="s">
        <v>269</v>
      </c>
      <c r="AB7" s="147"/>
      <c r="AC7" s="147"/>
      <c r="AD7" s="148"/>
      <c r="AE7" s="71">
        <f>+'Obracun indikatora uspjesnosti'!M37</f>
        <v>0</v>
      </c>
      <c r="AF7" s="62"/>
      <c r="AG7" s="61"/>
      <c r="AH7" s="57">
        <f t="shared" ref="AH7:AH21" si="2">AH6+1</f>
        <v>34</v>
      </c>
      <c r="AI7" s="143"/>
      <c r="AJ7" s="145"/>
      <c r="AK7" s="46"/>
      <c r="AL7" s="71"/>
      <c r="AM7" s="71"/>
      <c r="AN7" s="71"/>
      <c r="AO7" s="71"/>
      <c r="AP7" s="71"/>
      <c r="AQ7" s="62"/>
      <c r="AR7" s="61"/>
      <c r="AS7" s="156"/>
      <c r="AT7" s="154"/>
      <c r="AU7" s="163"/>
      <c r="AV7" s="164"/>
      <c r="AW7" s="165"/>
      <c r="AX7" s="169"/>
      <c r="AY7" s="170"/>
      <c r="AZ7" s="170"/>
      <c r="BA7" s="171"/>
      <c r="BB7" s="62"/>
      <c r="BC7" s="61"/>
      <c r="BD7" s="156"/>
      <c r="BE7" s="154"/>
      <c r="BF7" s="163"/>
      <c r="BG7" s="164"/>
      <c r="BH7" s="165"/>
      <c r="BI7" s="169"/>
      <c r="BJ7" s="170"/>
      <c r="BK7" s="170"/>
      <c r="BL7" s="171"/>
      <c r="BM7" s="62"/>
      <c r="BN7" s="61"/>
      <c r="BO7" s="156"/>
      <c r="BP7" s="163"/>
      <c r="BQ7" s="163"/>
      <c r="BR7" s="164"/>
      <c r="BS7" s="165"/>
      <c r="BT7" s="169"/>
      <c r="BU7" s="170"/>
      <c r="BV7" s="170"/>
      <c r="BW7" s="171"/>
      <c r="BX7" s="62"/>
      <c r="BY7" s="61"/>
      <c r="BZ7" s="156"/>
      <c r="CA7" s="163"/>
      <c r="CB7" s="163"/>
      <c r="CC7" s="164"/>
      <c r="CD7" s="165"/>
      <c r="CE7" s="169"/>
      <c r="CF7" s="170"/>
      <c r="CG7" s="170"/>
      <c r="CH7" s="171"/>
      <c r="CI7" s="62"/>
      <c r="CJ7" s="61"/>
      <c r="CK7" s="156"/>
      <c r="CL7" s="163"/>
      <c r="CM7" s="163"/>
      <c r="CN7" s="164"/>
      <c r="CO7" s="165"/>
      <c r="CP7" s="169"/>
      <c r="CQ7" s="170"/>
      <c r="CR7" s="170"/>
      <c r="CS7" s="171"/>
      <c r="CT7" s="62"/>
      <c r="CU7" s="61"/>
      <c r="CV7" s="178">
        <f>CV5+1</f>
        <v>2</v>
      </c>
      <c r="CW7" s="172" t="str">
        <f>+'Obracun indikatora uspjesnosti'!D5</f>
        <v>Wastewater Coverage (Ratio)</v>
      </c>
      <c r="CX7" s="173"/>
      <c r="CY7" s="174"/>
      <c r="CZ7" s="172" t="str">
        <f>+'Obracun indikatora uspjesnosti'!E5</f>
        <v>Stanovništvo koje ima pristup uslugama odvođenja otpadnih voda  kao procenat ukupnog broja stanovnika koje je pod odgovornošću općine</v>
      </c>
      <c r="DA7" s="173"/>
      <c r="DB7" s="173"/>
      <c r="DC7" s="173"/>
      <c r="DD7" s="174"/>
      <c r="DE7" s="62"/>
      <c r="DF7" s="61"/>
      <c r="DG7" s="178">
        <f>DG5+1</f>
        <v>10</v>
      </c>
      <c r="DH7" s="172" t="str">
        <f>+'Obracun indikatora uspjesnosti'!D21</f>
        <v>Proportion of metered registered connections</v>
      </c>
      <c r="DI7" s="173"/>
      <c r="DJ7" s="174"/>
      <c r="DK7" s="172" t="str">
        <f>+'Obracun indikatora uspjesnosti'!E21</f>
        <v>Ukupan broj priključaka sa operativnim vodomjerom / ukupan broj priključaka, izražen postotkom</v>
      </c>
      <c r="DL7" s="173"/>
      <c r="DM7" s="173"/>
      <c r="DN7" s="173"/>
      <c r="DO7" s="174"/>
      <c r="DP7" s="62"/>
      <c r="DQ7" s="61"/>
      <c r="DR7" s="178">
        <f>DR5+1</f>
        <v>18</v>
      </c>
      <c r="DS7" s="172" t="str">
        <f>+'Obracun indikatora uspjesnosti'!D37</f>
        <v>Other costs as a proportion of Direct Operating costs for waste water operations</v>
      </c>
      <c r="DT7" s="173"/>
      <c r="DU7" s="174"/>
      <c r="DV7" s="172" t="str">
        <f>+'Obracun indikatora uspjesnosti'!E37</f>
        <v>Ukupni ostali troškovi izraženi postotkom ukupnih godišnjih operativnih troškova (isključujući amortizaciju, kamatu i kredit) za otpadne vode</v>
      </c>
      <c r="DW7" s="173"/>
      <c r="DX7" s="173"/>
      <c r="DY7" s="173"/>
      <c r="DZ7" s="174"/>
      <c r="EA7" s="62"/>
      <c r="EB7" s="61"/>
      <c r="EC7" s="178">
        <f>EC5+1</f>
        <v>26</v>
      </c>
      <c r="ED7" s="172" t="str">
        <f>+'Obracun indikatora uspjesnosti'!D53</f>
        <v>Staffing level</v>
      </c>
      <c r="EE7" s="173"/>
      <c r="EF7" s="174"/>
      <c r="EG7" s="172" t="str">
        <f>+'Obracun indikatora uspjesnosti'!E53</f>
        <v>Ukupan broj zaposlenika na 1000 priključaka</v>
      </c>
      <c r="EH7" s="173"/>
      <c r="EI7" s="173"/>
      <c r="EJ7" s="173"/>
      <c r="EK7" s="174"/>
      <c r="EL7" s="62"/>
      <c r="EM7" s="61"/>
      <c r="EN7" s="178">
        <f>EN5+1</f>
        <v>34</v>
      </c>
      <c r="EO7" s="172"/>
      <c r="EP7" s="173"/>
      <c r="EQ7" s="174"/>
      <c r="ER7" s="172"/>
      <c r="ES7" s="173"/>
      <c r="ET7" s="173"/>
      <c r="EU7" s="173"/>
      <c r="EV7" s="174"/>
      <c r="EW7" s="62"/>
      <c r="EX7" s="62"/>
    </row>
    <row r="8" spans="1:154" ht="47.45" customHeight="1">
      <c r="A8" s="21"/>
      <c r="B8" s="24"/>
      <c r="C8" s="187" t="s">
        <v>255</v>
      </c>
      <c r="D8" s="188"/>
      <c r="E8" s="182" t="s">
        <v>271</v>
      </c>
      <c r="F8" s="182"/>
      <c r="G8" s="182"/>
      <c r="H8" s="182"/>
      <c r="I8" s="39"/>
      <c r="J8" s="22"/>
      <c r="K8" s="61"/>
      <c r="L8" s="57">
        <f t="shared" si="0"/>
        <v>3</v>
      </c>
      <c r="M8" s="143" t="str">
        <f>+'Obracun indikatora uspjesnosti'!D7</f>
        <v>Water production (very rough estimation!!)</v>
      </c>
      <c r="N8" s="145"/>
      <c r="O8" s="46" t="str">
        <f>+'Obracun indikatora uspjesnosti'!F7</f>
        <v>litres/capita/day</v>
      </c>
      <c r="P8" s="72">
        <f>+'Obracun indikatora uspjesnosti'!I7</f>
        <v>351.16604938271598</v>
      </c>
      <c r="Q8" s="72">
        <f>+'Obracun indikatora uspjesnosti'!J7</f>
        <v>423.84074074074073</v>
      </c>
      <c r="R8" s="72">
        <f>+'Obracun indikatora uspjesnosti'!K7</f>
        <v>182.53011803011802</v>
      </c>
      <c r="S8" s="72">
        <f>+'Obracun indikatora uspjesnosti'!L7</f>
        <v>124.75010175010175</v>
      </c>
      <c r="T8" s="71">
        <f>+'Obracun indikatora uspjesnosti'!M7</f>
        <v>140.69424094424093</v>
      </c>
      <c r="U8" s="62"/>
      <c r="V8" s="61"/>
      <c r="W8" s="57">
        <f t="shared" si="1"/>
        <v>19</v>
      </c>
      <c r="X8" s="143" t="str">
        <f>+'Obracun indikatora uspjesnosti'!D39</f>
        <v>Average Annual Water Tariff per connection</v>
      </c>
      <c r="Y8" s="145"/>
      <c r="Z8" s="46" t="str">
        <f>+'Obracun indikatora uspjesnosti'!F39</f>
        <v>KM/conn./year</v>
      </c>
      <c r="AA8" s="146" t="s">
        <v>269</v>
      </c>
      <c r="AB8" s="147"/>
      <c r="AC8" s="147"/>
      <c r="AD8" s="148"/>
      <c r="AE8" s="71">
        <f>+'Obracun indikatora uspjesnosti'!M39</f>
        <v>260.82327666728935</v>
      </c>
      <c r="AF8" s="62"/>
      <c r="AG8" s="61"/>
      <c r="AH8" s="57">
        <f t="shared" si="2"/>
        <v>35</v>
      </c>
      <c r="AI8" s="143"/>
      <c r="AJ8" s="145"/>
      <c r="AK8" s="46"/>
      <c r="AL8" s="71"/>
      <c r="AM8" s="71"/>
      <c r="AN8" s="71"/>
      <c r="AO8" s="71"/>
      <c r="AP8" s="71"/>
      <c r="AQ8" s="62"/>
      <c r="AR8" s="61"/>
      <c r="AS8" s="155">
        <f>AS6+1</f>
        <v>2</v>
      </c>
      <c r="AT8" s="154"/>
      <c r="AU8" s="160"/>
      <c r="AV8" s="161"/>
      <c r="AW8" s="162"/>
      <c r="AX8" s="166"/>
      <c r="AY8" s="167"/>
      <c r="AZ8" s="167"/>
      <c r="BA8" s="168"/>
      <c r="BB8" s="62"/>
      <c r="BC8" s="61"/>
      <c r="BD8" s="155">
        <f>BD6+1</f>
        <v>10</v>
      </c>
      <c r="BE8" s="154"/>
      <c r="BF8" s="160"/>
      <c r="BG8" s="161"/>
      <c r="BH8" s="162"/>
      <c r="BI8" s="166"/>
      <c r="BJ8" s="167"/>
      <c r="BK8" s="167"/>
      <c r="BL8" s="168"/>
      <c r="BM8" s="62"/>
      <c r="BN8" s="61"/>
      <c r="BO8" s="155">
        <f>BO6+1</f>
        <v>18</v>
      </c>
      <c r="BP8" s="160"/>
      <c r="BQ8" s="160"/>
      <c r="BR8" s="161"/>
      <c r="BS8" s="162"/>
      <c r="BT8" s="166"/>
      <c r="BU8" s="167"/>
      <c r="BV8" s="167"/>
      <c r="BW8" s="168"/>
      <c r="BX8" s="62"/>
      <c r="BY8" s="61"/>
      <c r="BZ8" s="155">
        <f>BZ6+1</f>
        <v>26</v>
      </c>
      <c r="CA8" s="160"/>
      <c r="CB8" s="160"/>
      <c r="CC8" s="161"/>
      <c r="CD8" s="162"/>
      <c r="CE8" s="166"/>
      <c r="CF8" s="167"/>
      <c r="CG8" s="167"/>
      <c r="CH8" s="168"/>
      <c r="CI8" s="62"/>
      <c r="CJ8" s="61"/>
      <c r="CK8" s="155">
        <f>CK6+1</f>
        <v>34</v>
      </c>
      <c r="CL8" s="160"/>
      <c r="CM8" s="160"/>
      <c r="CN8" s="161"/>
      <c r="CO8" s="162"/>
      <c r="CP8" s="166"/>
      <c r="CQ8" s="167"/>
      <c r="CR8" s="167"/>
      <c r="CS8" s="168"/>
      <c r="CT8" s="62"/>
      <c r="CU8" s="61"/>
      <c r="CV8" s="179"/>
      <c r="CW8" s="175"/>
      <c r="CX8" s="176"/>
      <c r="CY8" s="177"/>
      <c r="CZ8" s="175"/>
      <c r="DA8" s="176"/>
      <c r="DB8" s="176"/>
      <c r="DC8" s="176"/>
      <c r="DD8" s="177"/>
      <c r="DE8" s="62"/>
      <c r="DF8" s="61"/>
      <c r="DG8" s="179"/>
      <c r="DH8" s="175"/>
      <c r="DI8" s="176"/>
      <c r="DJ8" s="177"/>
      <c r="DK8" s="175"/>
      <c r="DL8" s="176"/>
      <c r="DM8" s="176"/>
      <c r="DN8" s="176"/>
      <c r="DO8" s="177"/>
      <c r="DP8" s="62"/>
      <c r="DQ8" s="61"/>
      <c r="DR8" s="179"/>
      <c r="DS8" s="175"/>
      <c r="DT8" s="176"/>
      <c r="DU8" s="177"/>
      <c r="DV8" s="175"/>
      <c r="DW8" s="176"/>
      <c r="DX8" s="176"/>
      <c r="DY8" s="176"/>
      <c r="DZ8" s="177"/>
      <c r="EA8" s="62"/>
      <c r="EB8" s="61"/>
      <c r="EC8" s="179"/>
      <c r="ED8" s="175"/>
      <c r="EE8" s="176"/>
      <c r="EF8" s="177"/>
      <c r="EG8" s="175"/>
      <c r="EH8" s="176"/>
      <c r="EI8" s="176"/>
      <c r="EJ8" s="176"/>
      <c r="EK8" s="177"/>
      <c r="EL8" s="62"/>
      <c r="EM8" s="61"/>
      <c r="EN8" s="179"/>
      <c r="EO8" s="175"/>
      <c r="EP8" s="176"/>
      <c r="EQ8" s="177"/>
      <c r="ER8" s="175"/>
      <c r="ES8" s="176"/>
      <c r="ET8" s="176"/>
      <c r="EU8" s="176"/>
      <c r="EV8" s="177"/>
      <c r="EW8" s="62"/>
      <c r="EX8" s="62"/>
    </row>
    <row r="9" spans="1:154" ht="49.15" customHeight="1">
      <c r="A9" s="21"/>
      <c r="B9" s="23"/>
      <c r="C9" s="25"/>
      <c r="D9" s="25"/>
      <c r="E9" s="207" t="s">
        <v>256</v>
      </c>
      <c r="F9" s="207"/>
      <c r="G9" s="207"/>
      <c r="H9" s="207"/>
      <c r="I9" s="207"/>
      <c r="J9" s="22"/>
      <c r="K9" s="61"/>
      <c r="L9" s="57">
        <f t="shared" si="0"/>
        <v>4</v>
      </c>
      <c r="M9" s="143" t="str">
        <f>+'Obracun indikatora uspjesnosti'!D9</f>
        <v>Energy consumption</v>
      </c>
      <c r="N9" s="145"/>
      <c r="O9" s="46" t="str">
        <f>+'Obracun indikatora uspjesnosti'!F9</f>
        <v>KW/m3</v>
      </c>
      <c r="P9" s="72">
        <f>+'Obracun indikatora uspjesnosti'!I9</f>
        <v>0.46055557411023945</v>
      </c>
      <c r="Q9" s="72">
        <f>+'Obracun indikatora uspjesnosti'!J9</f>
        <v>0.48749967230878127</v>
      </c>
      <c r="R9" s="72">
        <f>+'Obracun indikatora uspjesnosti'!K9</f>
        <v>0.51376605017208266</v>
      </c>
      <c r="S9" s="72">
        <f>+'Obracun indikatora uspjesnosti'!L9</f>
        <v>0.48279180845059394</v>
      </c>
      <c r="T9" s="71">
        <f>+'Obracun indikatora uspjesnosti'!M9</f>
        <v>0.48943259882711393</v>
      </c>
      <c r="U9" s="62"/>
      <c r="V9" s="61"/>
      <c r="W9" s="57">
        <f t="shared" si="1"/>
        <v>20</v>
      </c>
      <c r="X9" s="143" t="str">
        <f>+'Obracun indikatora uspjesnosti'!D41</f>
        <v>Average Annual Water Tariff per private company connection</v>
      </c>
      <c r="Y9" s="145"/>
      <c r="Z9" s="46" t="str">
        <f>+'Obracun indikatora uspjesnosti'!F41</f>
        <v>KM/conn./year</v>
      </c>
      <c r="AA9" s="146" t="s">
        <v>269</v>
      </c>
      <c r="AB9" s="147"/>
      <c r="AC9" s="147"/>
      <c r="AD9" s="148"/>
      <c r="AE9" s="71">
        <f>+'Obracun indikatora uspjesnosti'!M41</f>
        <v>830.08124999999995</v>
      </c>
      <c r="AF9" s="62"/>
      <c r="AG9" s="61"/>
      <c r="AH9" s="57">
        <f t="shared" si="2"/>
        <v>36</v>
      </c>
      <c r="AI9" s="143"/>
      <c r="AJ9" s="145"/>
      <c r="AK9" s="46"/>
      <c r="AL9" s="71"/>
      <c r="AM9" s="71"/>
      <c r="AN9" s="71"/>
      <c r="AO9" s="71"/>
      <c r="AP9" s="71"/>
      <c r="AQ9" s="62"/>
      <c r="AR9" s="61"/>
      <c r="AS9" s="156"/>
      <c r="AT9" s="154"/>
      <c r="AU9" s="163"/>
      <c r="AV9" s="164"/>
      <c r="AW9" s="165"/>
      <c r="AX9" s="169"/>
      <c r="AY9" s="170"/>
      <c r="AZ9" s="170"/>
      <c r="BA9" s="171"/>
      <c r="BB9" s="62"/>
      <c r="BC9" s="61"/>
      <c r="BD9" s="156"/>
      <c r="BE9" s="154"/>
      <c r="BF9" s="163"/>
      <c r="BG9" s="164"/>
      <c r="BH9" s="165"/>
      <c r="BI9" s="169"/>
      <c r="BJ9" s="170"/>
      <c r="BK9" s="170"/>
      <c r="BL9" s="171"/>
      <c r="BM9" s="62"/>
      <c r="BN9" s="61"/>
      <c r="BO9" s="156"/>
      <c r="BP9" s="163"/>
      <c r="BQ9" s="163"/>
      <c r="BR9" s="164"/>
      <c r="BS9" s="165"/>
      <c r="BT9" s="169"/>
      <c r="BU9" s="170"/>
      <c r="BV9" s="170"/>
      <c r="BW9" s="171"/>
      <c r="BX9" s="62"/>
      <c r="BY9" s="61"/>
      <c r="BZ9" s="156"/>
      <c r="CA9" s="163"/>
      <c r="CB9" s="163"/>
      <c r="CC9" s="164"/>
      <c r="CD9" s="165"/>
      <c r="CE9" s="169"/>
      <c r="CF9" s="170"/>
      <c r="CG9" s="170"/>
      <c r="CH9" s="171"/>
      <c r="CI9" s="62"/>
      <c r="CJ9" s="61"/>
      <c r="CK9" s="156"/>
      <c r="CL9" s="163"/>
      <c r="CM9" s="163"/>
      <c r="CN9" s="164"/>
      <c r="CO9" s="165"/>
      <c r="CP9" s="169"/>
      <c r="CQ9" s="170"/>
      <c r="CR9" s="170"/>
      <c r="CS9" s="171"/>
      <c r="CT9" s="62"/>
      <c r="CU9" s="61"/>
      <c r="CV9" s="178">
        <f>CV7+1</f>
        <v>3</v>
      </c>
      <c r="CW9" s="172" t="str">
        <f>+'Obracun indikatora uspjesnosti'!D7</f>
        <v>Water production (very rough estimation!!)</v>
      </c>
      <c r="CX9" s="173"/>
      <c r="CY9" s="174"/>
      <c r="CZ9" s="172" t="str">
        <f>+'Obracun indikatora uspjesnosti'!E7</f>
        <v xml:space="preserve">Prosječna mjesečna količina vode koja se crpi u distributivni sistem (uključujući i kupljenu vodu, ako je ima) izražena brojem stanovnika koje jeusluženo po danu </v>
      </c>
      <c r="DA9" s="173"/>
      <c r="DB9" s="173"/>
      <c r="DC9" s="173"/>
      <c r="DD9" s="174"/>
      <c r="DE9" s="62"/>
      <c r="DF9" s="61"/>
      <c r="DG9" s="178">
        <f>DG7+1</f>
        <v>11</v>
      </c>
      <c r="DH9" s="172" t="str">
        <f>+'Obracun indikatora uspjesnosti'!D23</f>
        <v>Unit operating cost per m3 sold for water operations</v>
      </c>
      <c r="DI9" s="173"/>
      <c r="DJ9" s="174"/>
      <c r="DK9" s="172" t="str">
        <f>+'Obracun indikatora uspjesnosti'!E23</f>
        <v>Ukupni godišnji operativni troškovi za vodu (isključujući amortizaciju, kamate i kredite)/ Ukupna godišnja zapremina prodate vode</v>
      </c>
      <c r="DL9" s="173"/>
      <c r="DM9" s="173"/>
      <c r="DN9" s="173"/>
      <c r="DO9" s="174"/>
      <c r="DP9" s="62"/>
      <c r="DQ9" s="61"/>
      <c r="DR9" s="178">
        <f>DR7+1</f>
        <v>19</v>
      </c>
      <c r="DS9" s="172" t="str">
        <f>+'Obracun indikatora uspjesnosti'!D39</f>
        <v>Average Annual Water Tariff per connection</v>
      </c>
      <c r="DT9" s="173"/>
      <c r="DU9" s="174"/>
      <c r="DV9" s="172" t="str">
        <f>+'Obracun indikatora uspjesnosti'!E39</f>
        <v>Ukupni godišnji operativni prihodi izražen u odnosu na broj priključaka</v>
      </c>
      <c r="DW9" s="173"/>
      <c r="DX9" s="173"/>
      <c r="DY9" s="173"/>
      <c r="DZ9" s="174"/>
      <c r="EA9" s="62"/>
      <c r="EB9" s="61"/>
      <c r="EC9" s="178">
        <f>EC7+1</f>
        <v>27</v>
      </c>
      <c r="ED9" s="172" t="str">
        <f>+'Obracun indikatora uspjesnosti'!D55</f>
        <v>Staff training hours</v>
      </c>
      <c r="EE9" s="173"/>
      <c r="EF9" s="174"/>
      <c r="EG9" s="172" t="str">
        <f>+'Obracun indikatora uspjesnosti'!E55</f>
        <v>Ukupni godišnji sati obuke  po zaposljenom</v>
      </c>
      <c r="EH9" s="173"/>
      <c r="EI9" s="173"/>
      <c r="EJ9" s="173"/>
      <c r="EK9" s="174"/>
      <c r="EL9" s="62"/>
      <c r="EM9" s="61"/>
      <c r="EN9" s="178">
        <f>EN7+1</f>
        <v>35</v>
      </c>
      <c r="EO9" s="172"/>
      <c r="EP9" s="173"/>
      <c r="EQ9" s="174"/>
      <c r="ER9" s="172"/>
      <c r="ES9" s="173"/>
      <c r="ET9" s="173"/>
      <c r="EU9" s="173"/>
      <c r="EV9" s="174"/>
      <c r="EW9" s="62"/>
      <c r="EX9" s="62"/>
    </row>
    <row r="10" spans="1:154" ht="37.15" customHeight="1">
      <c r="A10" s="21"/>
      <c r="B10" s="24"/>
      <c r="C10" s="189" t="s">
        <v>257</v>
      </c>
      <c r="D10" s="189"/>
      <c r="E10" s="23"/>
      <c r="F10" s="23"/>
      <c r="G10" s="23"/>
      <c r="H10" s="23"/>
      <c r="I10" s="23"/>
      <c r="J10" s="22"/>
      <c r="K10" s="61"/>
      <c r="L10" s="57">
        <f t="shared" si="0"/>
        <v>5</v>
      </c>
      <c r="M10" s="143" t="str">
        <f>+'Obracun indikatora uspjesnosti'!D11</f>
        <v>Water Sales</v>
      </c>
      <c r="N10" s="145"/>
      <c r="O10" s="46" t="str">
        <f>+'Obracun indikatora uspjesnosti'!F11</f>
        <v>litres/capita/day</v>
      </c>
      <c r="P10" s="72">
        <f>+'Obracun indikatora uspjesnosti'!I11</f>
        <v>148.52160493827162</v>
      </c>
      <c r="Q10" s="72">
        <f>+'Obracun indikatora uspjesnosti'!J11</f>
        <v>190.77283950617283</v>
      </c>
      <c r="R10" s="72">
        <f>+'Obracun indikatora uspjesnosti'!K11</f>
        <v>97.027879527879534</v>
      </c>
      <c r="S10" s="72">
        <f>+'Obracun indikatora uspjesnosti'!L11</f>
        <v>50.284900284900289</v>
      </c>
      <c r="T10" s="71">
        <f>+'Obracun indikatora uspjesnosti'!M11</f>
        <v>64.792022792022792</v>
      </c>
      <c r="U10" s="62"/>
      <c r="V10" s="61"/>
      <c r="W10" s="57">
        <f t="shared" si="1"/>
        <v>21</v>
      </c>
      <c r="X10" s="143" t="str">
        <f>+'Obracun indikatora uspjesnosti'!D43</f>
        <v>Average Annual Water Tariff per institution connection</v>
      </c>
      <c r="Y10" s="145"/>
      <c r="Z10" s="46" t="str">
        <f>+'Obracun indikatora uspjesnosti'!F43</f>
        <v>KM/inst.
conn./year</v>
      </c>
      <c r="AA10" s="146" t="s">
        <v>269</v>
      </c>
      <c r="AB10" s="147"/>
      <c r="AC10" s="147"/>
      <c r="AD10" s="148"/>
      <c r="AE10" s="71" t="str">
        <f>+'Obracun indikatora uspjesnosti'!M43</f>
        <v/>
      </c>
      <c r="AF10" s="62"/>
      <c r="AG10" s="61"/>
      <c r="AH10" s="57">
        <f t="shared" si="2"/>
        <v>37</v>
      </c>
      <c r="AI10" s="143"/>
      <c r="AJ10" s="145"/>
      <c r="AK10" s="46"/>
      <c r="AL10" s="71"/>
      <c r="AM10" s="71"/>
      <c r="AN10" s="71"/>
      <c r="AO10" s="71"/>
      <c r="AP10" s="71"/>
      <c r="AQ10" s="62"/>
      <c r="AR10" s="61"/>
      <c r="AS10" s="155">
        <f>AS8+1</f>
        <v>3</v>
      </c>
      <c r="AT10" s="154"/>
      <c r="AU10" s="160"/>
      <c r="AV10" s="161"/>
      <c r="AW10" s="162"/>
      <c r="AX10" s="166"/>
      <c r="AY10" s="167"/>
      <c r="AZ10" s="167"/>
      <c r="BA10" s="168"/>
      <c r="BB10" s="62"/>
      <c r="BC10" s="61"/>
      <c r="BD10" s="155">
        <f>BD8+1</f>
        <v>11</v>
      </c>
      <c r="BE10" s="154"/>
      <c r="BF10" s="160"/>
      <c r="BG10" s="161"/>
      <c r="BH10" s="162"/>
      <c r="BI10" s="166"/>
      <c r="BJ10" s="167"/>
      <c r="BK10" s="167"/>
      <c r="BL10" s="168"/>
      <c r="BM10" s="62"/>
      <c r="BN10" s="61"/>
      <c r="BO10" s="155">
        <f>BO8+1</f>
        <v>19</v>
      </c>
      <c r="BP10" s="160"/>
      <c r="BQ10" s="160"/>
      <c r="BR10" s="161"/>
      <c r="BS10" s="162"/>
      <c r="BT10" s="166"/>
      <c r="BU10" s="167"/>
      <c r="BV10" s="167"/>
      <c r="BW10" s="168"/>
      <c r="BX10" s="62"/>
      <c r="BY10" s="61"/>
      <c r="BZ10" s="155">
        <f>BZ8+1</f>
        <v>27</v>
      </c>
      <c r="CA10" s="160"/>
      <c r="CB10" s="160"/>
      <c r="CC10" s="161"/>
      <c r="CD10" s="162"/>
      <c r="CE10" s="166"/>
      <c r="CF10" s="167"/>
      <c r="CG10" s="167"/>
      <c r="CH10" s="168"/>
      <c r="CI10" s="62"/>
      <c r="CJ10" s="61"/>
      <c r="CK10" s="155">
        <f>CK8+1</f>
        <v>35</v>
      </c>
      <c r="CL10" s="160"/>
      <c r="CM10" s="160"/>
      <c r="CN10" s="161"/>
      <c r="CO10" s="162"/>
      <c r="CP10" s="166"/>
      <c r="CQ10" s="167"/>
      <c r="CR10" s="167"/>
      <c r="CS10" s="168"/>
      <c r="CT10" s="62"/>
      <c r="CU10" s="61"/>
      <c r="CV10" s="179"/>
      <c r="CW10" s="175"/>
      <c r="CX10" s="176"/>
      <c r="CY10" s="177"/>
      <c r="CZ10" s="175"/>
      <c r="DA10" s="176"/>
      <c r="DB10" s="176"/>
      <c r="DC10" s="176"/>
      <c r="DD10" s="177"/>
      <c r="DE10" s="62"/>
      <c r="DF10" s="61"/>
      <c r="DG10" s="179"/>
      <c r="DH10" s="175"/>
      <c r="DI10" s="176"/>
      <c r="DJ10" s="177"/>
      <c r="DK10" s="175"/>
      <c r="DL10" s="176"/>
      <c r="DM10" s="176"/>
      <c r="DN10" s="176"/>
      <c r="DO10" s="177"/>
      <c r="DP10" s="62"/>
      <c r="DQ10" s="61"/>
      <c r="DR10" s="179"/>
      <c r="DS10" s="175"/>
      <c r="DT10" s="176"/>
      <c r="DU10" s="177"/>
      <c r="DV10" s="175"/>
      <c r="DW10" s="176"/>
      <c r="DX10" s="176"/>
      <c r="DY10" s="176"/>
      <c r="DZ10" s="177"/>
      <c r="EA10" s="62"/>
      <c r="EB10" s="61"/>
      <c r="EC10" s="179"/>
      <c r="ED10" s="175"/>
      <c r="EE10" s="176"/>
      <c r="EF10" s="177"/>
      <c r="EG10" s="175"/>
      <c r="EH10" s="176"/>
      <c r="EI10" s="176"/>
      <c r="EJ10" s="176"/>
      <c r="EK10" s="177"/>
      <c r="EL10" s="62"/>
      <c r="EM10" s="61"/>
      <c r="EN10" s="179"/>
      <c r="EO10" s="175"/>
      <c r="EP10" s="176"/>
      <c r="EQ10" s="177"/>
      <c r="ER10" s="175"/>
      <c r="ES10" s="176"/>
      <c r="ET10" s="176"/>
      <c r="EU10" s="176"/>
      <c r="EV10" s="177"/>
      <c r="EW10" s="62"/>
      <c r="EX10" s="62"/>
    </row>
    <row r="11" spans="1:154" ht="41.45" customHeight="1">
      <c r="A11" s="21"/>
      <c r="B11" s="23"/>
      <c r="C11" s="183" t="s">
        <v>258</v>
      </c>
      <c r="D11" s="184"/>
      <c r="E11" s="184"/>
      <c r="F11" s="185"/>
      <c r="G11" s="185"/>
      <c r="H11" s="185"/>
      <c r="I11" s="185"/>
      <c r="J11" s="22"/>
      <c r="K11" s="61"/>
      <c r="L11" s="57">
        <f t="shared" si="0"/>
        <v>6</v>
      </c>
      <c r="M11" s="143" t="str">
        <f>+'Obracun indikatora uspjesnosti'!D13</f>
        <v>Metered water sales</v>
      </c>
      <c r="N11" s="144"/>
      <c r="O11" s="46" t="str">
        <f>+'Obracun indikatora uspjesnosti'!F13</f>
        <v>litres/capita/day</v>
      </c>
      <c r="P11" s="71">
        <f>+'Obracun indikatora uspjesnosti'!I13</f>
        <v>37.130401234567906</v>
      </c>
      <c r="Q11" s="71">
        <f>+'Obracun indikatora uspjesnosti'!J13</f>
        <v>15.723036223036225</v>
      </c>
      <c r="R11" s="71">
        <f>+'Obracun indikatora uspjesnosti'!K13</f>
        <v>24.256969881969884</v>
      </c>
      <c r="S11" s="71">
        <f>+'Obracun indikatora uspjesnosti'!L13</f>
        <v>12.571225071225072</v>
      </c>
      <c r="T11" s="71">
        <f>+'Obracun indikatora uspjesnosti'!M13</f>
        <v>16.198005698005698</v>
      </c>
      <c r="U11" s="62"/>
      <c r="V11" s="61"/>
      <c r="W11" s="57">
        <f t="shared" si="1"/>
        <v>22</v>
      </c>
      <c r="X11" s="143" t="str">
        <f>+'Obracun indikatora uspjesnosti'!D45</f>
        <v>Cumulative Collection rate</v>
      </c>
      <c r="Y11" s="145"/>
      <c r="Z11" s="46" t="str">
        <f>+'Obracun indikatora uspjesnosti'!F45</f>
        <v>%</v>
      </c>
      <c r="AA11" s="71">
        <f>+'Obracun indikatora uspjesnosti'!I45</f>
        <v>131.16298234304438</v>
      </c>
      <c r="AB11" s="71">
        <f>+'Obracun indikatora uspjesnosti'!J45</f>
        <v>103.37639998785006</v>
      </c>
      <c r="AC11" s="71">
        <f>+'Obracun indikatora uspjesnosti'!K45</f>
        <v>82.433889180295978</v>
      </c>
      <c r="AD11" s="71">
        <f>+'Obracun indikatora uspjesnosti'!L45</f>
        <v>124.7276555449738</v>
      </c>
      <c r="AE11" s="71">
        <f>+'Obracun indikatora uspjesnosti'!M45</f>
        <v>105.72098276050446</v>
      </c>
      <c r="AF11" s="62"/>
      <c r="AG11" s="61"/>
      <c r="AH11" s="57">
        <f t="shared" si="2"/>
        <v>38</v>
      </c>
      <c r="AI11" s="143"/>
      <c r="AJ11" s="145"/>
      <c r="AK11" s="46"/>
      <c r="AL11" s="71"/>
      <c r="AM11" s="71"/>
      <c r="AN11" s="71"/>
      <c r="AO11" s="71"/>
      <c r="AP11" s="71"/>
      <c r="AQ11" s="62"/>
      <c r="AR11" s="61"/>
      <c r="AS11" s="156"/>
      <c r="AT11" s="154"/>
      <c r="AU11" s="163"/>
      <c r="AV11" s="164"/>
      <c r="AW11" s="165"/>
      <c r="AX11" s="169"/>
      <c r="AY11" s="170"/>
      <c r="AZ11" s="170"/>
      <c r="BA11" s="171"/>
      <c r="BB11" s="62"/>
      <c r="BC11" s="61"/>
      <c r="BD11" s="156"/>
      <c r="BE11" s="154"/>
      <c r="BF11" s="163"/>
      <c r="BG11" s="164"/>
      <c r="BH11" s="165"/>
      <c r="BI11" s="169"/>
      <c r="BJ11" s="170"/>
      <c r="BK11" s="170"/>
      <c r="BL11" s="171"/>
      <c r="BM11" s="62"/>
      <c r="BN11" s="61"/>
      <c r="BO11" s="156"/>
      <c r="BP11" s="163"/>
      <c r="BQ11" s="163"/>
      <c r="BR11" s="164"/>
      <c r="BS11" s="165"/>
      <c r="BT11" s="169"/>
      <c r="BU11" s="170"/>
      <c r="BV11" s="170"/>
      <c r="BW11" s="171"/>
      <c r="BX11" s="62"/>
      <c r="BY11" s="61"/>
      <c r="BZ11" s="156"/>
      <c r="CA11" s="163"/>
      <c r="CB11" s="163"/>
      <c r="CC11" s="164"/>
      <c r="CD11" s="165"/>
      <c r="CE11" s="169"/>
      <c r="CF11" s="170"/>
      <c r="CG11" s="170"/>
      <c r="CH11" s="171"/>
      <c r="CI11" s="62"/>
      <c r="CJ11" s="61"/>
      <c r="CK11" s="156"/>
      <c r="CL11" s="163"/>
      <c r="CM11" s="163"/>
      <c r="CN11" s="164"/>
      <c r="CO11" s="165"/>
      <c r="CP11" s="169"/>
      <c r="CQ11" s="170"/>
      <c r="CR11" s="170"/>
      <c r="CS11" s="171"/>
      <c r="CT11" s="62"/>
      <c r="CU11" s="61"/>
      <c r="CV11" s="178">
        <f>CV9+1</f>
        <v>4</v>
      </c>
      <c r="CW11" s="172" t="str">
        <f>+'Obracun indikatora uspjesnosti'!D9</f>
        <v>Energy consumption</v>
      </c>
      <c r="CX11" s="173"/>
      <c r="CY11" s="174"/>
      <c r="CZ11" s="172" t="str">
        <f>+'Obracun indikatora uspjesnosti'!E9</f>
        <v xml:space="preserve">Ukupna potrošnja energije za vodu po proizvedenom m3 </v>
      </c>
      <c r="DA11" s="173"/>
      <c r="DB11" s="173"/>
      <c r="DC11" s="173"/>
      <c r="DD11" s="174"/>
      <c r="DE11" s="62"/>
      <c r="DF11" s="61"/>
      <c r="DG11" s="178">
        <f>DG9+1</f>
        <v>12</v>
      </c>
      <c r="DH11" s="172" t="str">
        <f>+'Obracun indikatora uspjesnosti'!D25</f>
        <v>Unit operating cost per m3 sold for wastewater operations</v>
      </c>
      <c r="DI11" s="173"/>
      <c r="DJ11" s="174"/>
      <c r="DK11" s="172" t="str">
        <f>+'Obracun indikatora uspjesnosti'!E25</f>
        <v>Ukupni godišnji operativni troškovi za otpadne vode (isključujući amortizaciju, kamate i kredite)/ Ukupna godišnja prodata zapremina</v>
      </c>
      <c r="DL11" s="173"/>
      <c r="DM11" s="173"/>
      <c r="DN11" s="173"/>
      <c r="DO11" s="174"/>
      <c r="DP11" s="62"/>
      <c r="DQ11" s="61"/>
      <c r="DR11" s="178">
        <f>DR9+1</f>
        <v>20</v>
      </c>
      <c r="DS11" s="172" t="str">
        <f>+'Obracun indikatora uspjesnosti'!D41</f>
        <v>Average Annual Water Tariff per private company connection</v>
      </c>
      <c r="DT11" s="173"/>
      <c r="DU11" s="174"/>
      <c r="DV11" s="172" t="str">
        <f>+'Obracun indikatora uspjesnosti'!E41</f>
        <v>Ukupni godišnji operativni prihodi za privatna poduzeća prema broju priključaka</v>
      </c>
      <c r="DW11" s="173"/>
      <c r="DX11" s="173"/>
      <c r="DY11" s="173"/>
      <c r="DZ11" s="174"/>
      <c r="EA11" s="62"/>
      <c r="EB11" s="61"/>
      <c r="EC11" s="178">
        <f>EC9+1</f>
        <v>28</v>
      </c>
      <c r="ED11" s="172" t="str">
        <f>+'Obracun indikatora uspjesnosti'!D57</f>
        <v>Water service complaints</v>
      </c>
      <c r="EE11" s="173"/>
      <c r="EF11" s="174"/>
      <c r="EG11" s="172" t="str">
        <f>+'Obracun indikatora uspjesnosti'!E57</f>
        <v>Ukupan broj žalbi na godišnjoj razini izražen odnosom na svakih 1000 priključaka</v>
      </c>
      <c r="EH11" s="173"/>
      <c r="EI11" s="173"/>
      <c r="EJ11" s="173"/>
      <c r="EK11" s="174"/>
      <c r="EL11" s="62"/>
      <c r="EM11" s="61"/>
      <c r="EN11" s="178">
        <f>EN9+1</f>
        <v>36</v>
      </c>
      <c r="EO11" s="172"/>
      <c r="EP11" s="173"/>
      <c r="EQ11" s="174"/>
      <c r="ER11" s="172"/>
      <c r="ES11" s="173"/>
      <c r="ET11" s="173"/>
      <c r="EU11" s="173"/>
      <c r="EV11" s="174"/>
      <c r="EW11" s="62"/>
      <c r="EX11" s="62"/>
    </row>
    <row r="12" spans="1:154" ht="35.1" customHeight="1">
      <c r="A12" s="21"/>
      <c r="B12" s="23"/>
      <c r="C12" s="183" t="s">
        <v>259</v>
      </c>
      <c r="D12" s="184"/>
      <c r="E12" s="184"/>
      <c r="F12" s="185"/>
      <c r="G12" s="185"/>
      <c r="H12" s="185"/>
      <c r="I12" s="185"/>
      <c r="J12" s="22"/>
      <c r="K12" s="61"/>
      <c r="L12" s="57">
        <f t="shared" si="0"/>
        <v>7</v>
      </c>
      <c r="M12" s="143" t="str">
        <f>+'Obracun indikatora uspjesnosti'!D15</f>
        <v>Non revenue water (very rough estimation!!!)</v>
      </c>
      <c r="N12" s="144"/>
      <c r="O12" s="46" t="str">
        <f>+'Obracun indikatora uspjesnosti'!F15</f>
        <v>%</v>
      </c>
      <c r="P12" s="71">
        <f>+'Obracun indikatora uspjesnosti'!I15</f>
        <v>57.706160604265499</v>
      </c>
      <c r="Q12" s="71">
        <f>+'Obracun indikatora uspjesnosti'!J15</f>
        <v>54.989499316945867</v>
      </c>
      <c r="R12" s="71">
        <f>+'Obracun indikatora uspjesnosti'!K15</f>
        <v>46.842811161788859</v>
      </c>
      <c r="S12" s="71">
        <f>+'Obracun indikatora uspjesnosti'!L15</f>
        <v>59.691495574383943</v>
      </c>
      <c r="T12" s="71">
        <f>+'Obracun indikatora uspjesnosti'!M15</f>
        <v>53.948347596046411</v>
      </c>
      <c r="U12" s="62"/>
      <c r="V12" s="61"/>
      <c r="W12" s="57">
        <f t="shared" si="1"/>
        <v>23</v>
      </c>
      <c r="X12" s="143" t="str">
        <f>+'Obracun indikatora uspjesnosti'!D47</f>
        <v>Operating cost coverage from revenues</v>
      </c>
      <c r="Y12" s="145"/>
      <c r="Z12" s="46" t="str">
        <f>+'Obracun indikatora uspjesnosti'!F47</f>
        <v>%</v>
      </c>
      <c r="AA12" s="146" t="s">
        <v>269</v>
      </c>
      <c r="AB12" s="147"/>
      <c r="AC12" s="147"/>
      <c r="AD12" s="148"/>
      <c r="AE12" s="71">
        <f>+'Obracun indikatora uspjesnosti'!M47</f>
        <v>134.14420974054656</v>
      </c>
      <c r="AF12" s="62"/>
      <c r="AG12" s="61"/>
      <c r="AH12" s="57">
        <f t="shared" si="2"/>
        <v>39</v>
      </c>
      <c r="AI12" s="143"/>
      <c r="AJ12" s="145"/>
      <c r="AK12" s="46"/>
      <c r="AL12" s="71"/>
      <c r="AM12" s="71"/>
      <c r="AN12" s="71"/>
      <c r="AO12" s="71"/>
      <c r="AP12" s="71"/>
      <c r="AQ12" s="62"/>
      <c r="AR12" s="61"/>
      <c r="AS12" s="155">
        <f>AS10+1</f>
        <v>4</v>
      </c>
      <c r="AT12" s="154"/>
      <c r="AU12" s="160"/>
      <c r="AV12" s="161"/>
      <c r="AW12" s="162"/>
      <c r="AX12" s="166"/>
      <c r="AY12" s="167"/>
      <c r="AZ12" s="167"/>
      <c r="BA12" s="168"/>
      <c r="BB12" s="62"/>
      <c r="BC12" s="61"/>
      <c r="BD12" s="155">
        <f>BD10+1</f>
        <v>12</v>
      </c>
      <c r="BE12" s="154"/>
      <c r="BF12" s="160"/>
      <c r="BG12" s="161"/>
      <c r="BH12" s="162"/>
      <c r="BI12" s="166"/>
      <c r="BJ12" s="167"/>
      <c r="BK12" s="167"/>
      <c r="BL12" s="168"/>
      <c r="BM12" s="62"/>
      <c r="BN12" s="61"/>
      <c r="BO12" s="155">
        <f>BO10+1</f>
        <v>20</v>
      </c>
      <c r="BP12" s="160"/>
      <c r="BQ12" s="160"/>
      <c r="BR12" s="161"/>
      <c r="BS12" s="162"/>
      <c r="BT12" s="166"/>
      <c r="BU12" s="167"/>
      <c r="BV12" s="167"/>
      <c r="BW12" s="168"/>
      <c r="BX12" s="62"/>
      <c r="BY12" s="61"/>
      <c r="BZ12" s="155">
        <f>BZ10+1</f>
        <v>28</v>
      </c>
      <c r="CA12" s="160"/>
      <c r="CB12" s="160"/>
      <c r="CC12" s="161"/>
      <c r="CD12" s="162"/>
      <c r="CE12" s="166"/>
      <c r="CF12" s="167"/>
      <c r="CG12" s="167"/>
      <c r="CH12" s="168"/>
      <c r="CI12" s="62"/>
      <c r="CJ12" s="61"/>
      <c r="CK12" s="155">
        <f>CK10+1</f>
        <v>36</v>
      </c>
      <c r="CL12" s="160"/>
      <c r="CM12" s="160"/>
      <c r="CN12" s="161"/>
      <c r="CO12" s="162"/>
      <c r="CP12" s="166"/>
      <c r="CQ12" s="167"/>
      <c r="CR12" s="167"/>
      <c r="CS12" s="168"/>
      <c r="CT12" s="62"/>
      <c r="CU12" s="61"/>
      <c r="CV12" s="179"/>
      <c r="CW12" s="175"/>
      <c r="CX12" s="176"/>
      <c r="CY12" s="177"/>
      <c r="CZ12" s="175"/>
      <c r="DA12" s="176"/>
      <c r="DB12" s="176"/>
      <c r="DC12" s="176"/>
      <c r="DD12" s="177"/>
      <c r="DE12" s="62"/>
      <c r="DF12" s="61"/>
      <c r="DG12" s="179"/>
      <c r="DH12" s="175"/>
      <c r="DI12" s="176"/>
      <c r="DJ12" s="177"/>
      <c r="DK12" s="175"/>
      <c r="DL12" s="176"/>
      <c r="DM12" s="176"/>
      <c r="DN12" s="176"/>
      <c r="DO12" s="177"/>
      <c r="DP12" s="62"/>
      <c r="DQ12" s="61"/>
      <c r="DR12" s="179"/>
      <c r="DS12" s="175"/>
      <c r="DT12" s="176"/>
      <c r="DU12" s="177"/>
      <c r="DV12" s="175"/>
      <c r="DW12" s="176"/>
      <c r="DX12" s="176"/>
      <c r="DY12" s="176"/>
      <c r="DZ12" s="177"/>
      <c r="EA12" s="62"/>
      <c r="EB12" s="61"/>
      <c r="EC12" s="179"/>
      <c r="ED12" s="175"/>
      <c r="EE12" s="176"/>
      <c r="EF12" s="177"/>
      <c r="EG12" s="175"/>
      <c r="EH12" s="176"/>
      <c r="EI12" s="176"/>
      <c r="EJ12" s="176"/>
      <c r="EK12" s="177"/>
      <c r="EL12" s="62"/>
      <c r="EM12" s="61"/>
      <c r="EN12" s="179"/>
      <c r="EO12" s="175"/>
      <c r="EP12" s="176"/>
      <c r="EQ12" s="177"/>
      <c r="ER12" s="175"/>
      <c r="ES12" s="176"/>
      <c r="ET12" s="176"/>
      <c r="EU12" s="176"/>
      <c r="EV12" s="177"/>
      <c r="EW12" s="62"/>
      <c r="EX12" s="62"/>
    </row>
    <row r="13" spans="1:154" ht="41.45" customHeight="1">
      <c r="A13" s="21"/>
      <c r="B13" s="23"/>
      <c r="C13" s="183" t="s">
        <v>260</v>
      </c>
      <c r="D13" s="184"/>
      <c r="E13" s="184"/>
      <c r="F13" s="185"/>
      <c r="G13" s="185"/>
      <c r="H13" s="185"/>
      <c r="I13" s="185"/>
      <c r="J13" s="22"/>
      <c r="K13" s="61"/>
      <c r="L13" s="57">
        <f t="shared" si="0"/>
        <v>8</v>
      </c>
      <c r="M13" s="143" t="str">
        <f>+'Obracun indikatora uspjesnosti'!D17</f>
        <v>Non revenue water (very rough estimation!!!)</v>
      </c>
      <c r="N13" s="144"/>
      <c r="O13" s="46" t="str">
        <f>+'Obracun indikatora uspjesnosti'!F17</f>
        <v>m3/conn./month</v>
      </c>
      <c r="P13" s="71">
        <f>+'Obracun indikatora uspjesnosti'!I17</f>
        <v>20.442368765178401</v>
      </c>
      <c r="Q13" s="71">
        <f>+'Obracun indikatora uspjesnosti'!J17</f>
        <v>23.51142661435955</v>
      </c>
      <c r="R13" s="71">
        <f>+'Obracun indikatora uspjesnosti'!K17</f>
        <v>26.163397471822652</v>
      </c>
      <c r="S13" s="71" t="str">
        <f>+'Obracun indikatora uspjesnosti'!L17</f>
        <v/>
      </c>
      <c r="T13" s="71">
        <f>+'Obracun indikatora uspjesnosti'!M17</f>
        <v>23.225823525748801</v>
      </c>
      <c r="U13" s="62"/>
      <c r="V13" s="61"/>
      <c r="W13" s="57">
        <f t="shared" si="1"/>
        <v>24</v>
      </c>
      <c r="X13" s="143" t="str">
        <f>+'Obracun indikatora uspjesnosti'!D49</f>
        <v>Operating cost coverage from collections</v>
      </c>
      <c r="Y13" s="145"/>
      <c r="Z13" s="46" t="str">
        <f>+'Obracun indikatora uspjesnosti'!F49</f>
        <v>%</v>
      </c>
      <c r="AA13" s="146" t="s">
        <v>269</v>
      </c>
      <c r="AB13" s="147"/>
      <c r="AC13" s="147"/>
      <c r="AD13" s="148"/>
      <c r="AE13" s="71">
        <f>+'Obracun indikatora uspjesnosti'!M49</f>
        <v>13.737681328860429</v>
      </c>
      <c r="AF13" s="62"/>
      <c r="AG13" s="61"/>
      <c r="AH13" s="57">
        <f t="shared" si="2"/>
        <v>40</v>
      </c>
      <c r="AI13" s="143"/>
      <c r="AJ13" s="145"/>
      <c r="AK13" s="46"/>
      <c r="AL13" s="71"/>
      <c r="AM13" s="71"/>
      <c r="AN13" s="71"/>
      <c r="AO13" s="71"/>
      <c r="AP13" s="71"/>
      <c r="AQ13" s="62"/>
      <c r="AR13" s="61"/>
      <c r="AS13" s="156"/>
      <c r="AT13" s="154"/>
      <c r="AU13" s="163"/>
      <c r="AV13" s="164"/>
      <c r="AW13" s="165"/>
      <c r="AX13" s="169"/>
      <c r="AY13" s="170"/>
      <c r="AZ13" s="170"/>
      <c r="BA13" s="171"/>
      <c r="BB13" s="62"/>
      <c r="BC13" s="61"/>
      <c r="BD13" s="156"/>
      <c r="BE13" s="154"/>
      <c r="BF13" s="163"/>
      <c r="BG13" s="164"/>
      <c r="BH13" s="165"/>
      <c r="BI13" s="169"/>
      <c r="BJ13" s="170"/>
      <c r="BK13" s="170"/>
      <c r="BL13" s="171"/>
      <c r="BM13" s="62"/>
      <c r="BN13" s="61"/>
      <c r="BO13" s="156"/>
      <c r="BP13" s="163"/>
      <c r="BQ13" s="163"/>
      <c r="BR13" s="164"/>
      <c r="BS13" s="165"/>
      <c r="BT13" s="169"/>
      <c r="BU13" s="170"/>
      <c r="BV13" s="170"/>
      <c r="BW13" s="171"/>
      <c r="BX13" s="62"/>
      <c r="BY13" s="61"/>
      <c r="BZ13" s="156"/>
      <c r="CA13" s="163"/>
      <c r="CB13" s="163"/>
      <c r="CC13" s="164"/>
      <c r="CD13" s="165"/>
      <c r="CE13" s="169"/>
      <c r="CF13" s="170"/>
      <c r="CG13" s="170"/>
      <c r="CH13" s="171"/>
      <c r="CI13" s="62"/>
      <c r="CJ13" s="61"/>
      <c r="CK13" s="156"/>
      <c r="CL13" s="163"/>
      <c r="CM13" s="163"/>
      <c r="CN13" s="164"/>
      <c r="CO13" s="165"/>
      <c r="CP13" s="169"/>
      <c r="CQ13" s="170"/>
      <c r="CR13" s="170"/>
      <c r="CS13" s="171"/>
      <c r="CT13" s="62"/>
      <c r="CU13" s="61"/>
      <c r="CV13" s="178">
        <f>CV11+1</f>
        <v>5</v>
      </c>
      <c r="CW13" s="172" t="str">
        <f>+'Obracun indikatora uspjesnosti'!D11</f>
        <v>Water Sales</v>
      </c>
      <c r="CX13" s="173"/>
      <c r="CY13" s="174"/>
      <c r="CZ13" s="172" t="str">
        <f>+'Obracun indikatora uspjesnosti'!E11</f>
        <v>Ukupna godišnja zapremina prodate vode u odnosu na broj stanovnika koje je usluženo po danu</v>
      </c>
      <c r="DA13" s="173"/>
      <c r="DB13" s="173"/>
      <c r="DC13" s="173"/>
      <c r="DD13" s="174"/>
      <c r="DE13" s="62"/>
      <c r="DF13" s="61"/>
      <c r="DG13" s="178">
        <f>DG11+1</f>
        <v>13</v>
      </c>
      <c r="DH13" s="172" t="str">
        <f>+'Obracun indikatora uspjesnosti'!D27</f>
        <v>Labour costs as a proportion of Direct Operating costs for water operations</v>
      </c>
      <c r="DI13" s="173"/>
      <c r="DJ13" s="174"/>
      <c r="DK13" s="172" t="str">
        <f>+'Obracun indikatora uspjesnosti'!E27</f>
        <v>Ukupni godišnji troškovi rada (uključujući beneficije) izraženi u postotku  ukupnih godišnjih operativnih troškova(isključujući amortizaciju, kamate i kredite) za vodu</v>
      </c>
      <c r="DL13" s="173"/>
      <c r="DM13" s="173"/>
      <c r="DN13" s="173"/>
      <c r="DO13" s="174"/>
      <c r="DP13" s="62"/>
      <c r="DQ13" s="61"/>
      <c r="DR13" s="178">
        <f>DR11+1</f>
        <v>21</v>
      </c>
      <c r="DS13" s="172" t="str">
        <f>+'Obracun indikatora uspjesnosti'!D43</f>
        <v>Average Annual Water Tariff per institution connection</v>
      </c>
      <c r="DT13" s="173"/>
      <c r="DU13" s="174"/>
      <c r="DV13" s="172" t="str">
        <f>+'Obracun indikatora uspjesnosti'!E43</f>
        <v>Ukupni godišnji operativni prihodi za ustanove izraženi brojem priključaka</v>
      </c>
      <c r="DW13" s="173"/>
      <c r="DX13" s="173"/>
      <c r="DY13" s="173"/>
      <c r="DZ13" s="174"/>
      <c r="EA13" s="62"/>
      <c r="EB13" s="61"/>
      <c r="EC13" s="178">
        <f>EC11+1</f>
        <v>29</v>
      </c>
      <c r="ED13" s="172" t="str">
        <f>+'Obracun indikatora uspjesnosti'!D59</f>
        <v>Quality of water</v>
      </c>
      <c r="EE13" s="173"/>
      <c r="EF13" s="174"/>
      <c r="EG13" s="172" t="str">
        <f>+'Obracun indikatora uspjesnosti'!E59</f>
        <v>Pokazuje broj testiranja kvaliteta vode koji ispunjavaju zakonske standarde u odnosu na broj sprovedenih testiranja</v>
      </c>
      <c r="EH13" s="173"/>
      <c r="EI13" s="173"/>
      <c r="EJ13" s="173"/>
      <c r="EK13" s="174"/>
      <c r="EL13" s="62"/>
      <c r="EM13" s="61"/>
      <c r="EN13" s="178">
        <f>EN11+1</f>
        <v>37</v>
      </c>
      <c r="EO13" s="172"/>
      <c r="EP13" s="173"/>
      <c r="EQ13" s="174"/>
      <c r="ER13" s="172"/>
      <c r="ES13" s="173"/>
      <c r="ET13" s="173"/>
      <c r="EU13" s="173"/>
      <c r="EV13" s="174"/>
      <c r="EW13" s="62"/>
      <c r="EX13" s="62"/>
    </row>
    <row r="14" spans="1:154" ht="35.1" customHeight="1">
      <c r="A14" s="21"/>
      <c r="B14" s="23"/>
      <c r="C14" s="23"/>
      <c r="D14" s="23"/>
      <c r="E14" s="23"/>
      <c r="F14" s="23"/>
      <c r="G14" s="23"/>
      <c r="H14" s="23"/>
      <c r="I14" s="23"/>
      <c r="J14" s="22"/>
      <c r="K14" s="61"/>
      <c r="L14" s="57">
        <f t="shared" si="0"/>
        <v>9</v>
      </c>
      <c r="M14" s="143" t="str">
        <f>+'Obracun indikatora uspjesnosti'!D19</f>
        <v>Non revenue water (very rough estimation!!!)</v>
      </c>
      <c r="N14" s="144"/>
      <c r="O14" s="46" t="str">
        <f>+'Obracun indikatora uspjesnosti'!F19</f>
        <v>m3/km/month</v>
      </c>
      <c r="P14" s="71">
        <f>+'Obracun indikatora uspjesnosti'!I19</f>
        <v>593.10569105691047</v>
      </c>
      <c r="Q14" s="71">
        <f>+'Obracun indikatora uspjesnosti'!J19</f>
        <v>682.14995483288169</v>
      </c>
      <c r="R14" s="71">
        <f>+'Obracun indikatora uspjesnosti'!K19</f>
        <v>759.09304426377594</v>
      </c>
      <c r="S14" s="71">
        <f>+'Obracun indikatora uspjesnosti'!L19</f>
        <v>661.10569105691047</v>
      </c>
      <c r="T14" s="71">
        <f>+'Obracun indikatora uspjesnosti'!M19</f>
        <v>673.86359530261961</v>
      </c>
      <c r="U14" s="62"/>
      <c r="V14" s="61"/>
      <c r="W14" s="57">
        <f t="shared" si="1"/>
        <v>25</v>
      </c>
      <c r="X14" s="143" t="str">
        <f>+'Obracun indikatora uspjesnosti'!D51</f>
        <v>Operating cost coverage from subsidies</v>
      </c>
      <c r="Y14" s="145"/>
      <c r="Z14" s="46" t="str">
        <f>+'Obracun indikatora uspjesnosti'!F51</f>
        <v>%</v>
      </c>
      <c r="AA14" s="146" t="s">
        <v>269</v>
      </c>
      <c r="AB14" s="147"/>
      <c r="AC14" s="147"/>
      <c r="AD14" s="148"/>
      <c r="AE14" s="71">
        <f>+'Obracun indikatora uspjesnosti'!M51</f>
        <v>0</v>
      </c>
      <c r="AF14" s="62"/>
      <c r="AG14" s="61"/>
      <c r="AH14" s="57">
        <f t="shared" si="2"/>
        <v>41</v>
      </c>
      <c r="AI14" s="143"/>
      <c r="AJ14" s="145"/>
      <c r="AK14" s="46"/>
      <c r="AL14" s="71"/>
      <c r="AM14" s="71"/>
      <c r="AN14" s="71"/>
      <c r="AO14" s="71"/>
      <c r="AP14" s="71"/>
      <c r="AQ14" s="62"/>
      <c r="AR14" s="61"/>
      <c r="AS14" s="155">
        <f>AS12+1</f>
        <v>5</v>
      </c>
      <c r="AT14" s="154"/>
      <c r="AU14" s="160"/>
      <c r="AV14" s="161"/>
      <c r="AW14" s="162"/>
      <c r="AX14" s="166"/>
      <c r="AY14" s="167"/>
      <c r="AZ14" s="167"/>
      <c r="BA14" s="168"/>
      <c r="BB14" s="62"/>
      <c r="BC14" s="61"/>
      <c r="BD14" s="155">
        <f>BD12+1</f>
        <v>13</v>
      </c>
      <c r="BE14" s="154"/>
      <c r="BF14" s="160"/>
      <c r="BG14" s="161"/>
      <c r="BH14" s="162"/>
      <c r="BI14" s="166"/>
      <c r="BJ14" s="167"/>
      <c r="BK14" s="167"/>
      <c r="BL14" s="168"/>
      <c r="BM14" s="62"/>
      <c r="BN14" s="61"/>
      <c r="BO14" s="155">
        <f>BO12+1</f>
        <v>21</v>
      </c>
      <c r="BP14" s="160"/>
      <c r="BQ14" s="160"/>
      <c r="BR14" s="161"/>
      <c r="BS14" s="162"/>
      <c r="BT14" s="166"/>
      <c r="BU14" s="167"/>
      <c r="BV14" s="167"/>
      <c r="BW14" s="168"/>
      <c r="BX14" s="62"/>
      <c r="BY14" s="61"/>
      <c r="BZ14" s="155">
        <f>BZ12+1</f>
        <v>29</v>
      </c>
      <c r="CA14" s="160"/>
      <c r="CB14" s="160"/>
      <c r="CC14" s="161"/>
      <c r="CD14" s="162"/>
      <c r="CE14" s="166"/>
      <c r="CF14" s="167"/>
      <c r="CG14" s="167"/>
      <c r="CH14" s="168"/>
      <c r="CI14" s="62"/>
      <c r="CJ14" s="61"/>
      <c r="CK14" s="155">
        <f>CK12+1</f>
        <v>37</v>
      </c>
      <c r="CL14" s="160"/>
      <c r="CM14" s="160"/>
      <c r="CN14" s="161"/>
      <c r="CO14" s="162"/>
      <c r="CP14" s="166"/>
      <c r="CQ14" s="167"/>
      <c r="CR14" s="167"/>
      <c r="CS14" s="168"/>
      <c r="CT14" s="62"/>
      <c r="CU14" s="61"/>
      <c r="CV14" s="179"/>
      <c r="CW14" s="175"/>
      <c r="CX14" s="176"/>
      <c r="CY14" s="177"/>
      <c r="CZ14" s="175"/>
      <c r="DA14" s="176"/>
      <c r="DB14" s="176"/>
      <c r="DC14" s="176"/>
      <c r="DD14" s="177"/>
      <c r="DE14" s="62"/>
      <c r="DF14" s="61"/>
      <c r="DG14" s="179"/>
      <c r="DH14" s="175"/>
      <c r="DI14" s="176"/>
      <c r="DJ14" s="177"/>
      <c r="DK14" s="175"/>
      <c r="DL14" s="176"/>
      <c r="DM14" s="176"/>
      <c r="DN14" s="176"/>
      <c r="DO14" s="177"/>
      <c r="DP14" s="62"/>
      <c r="DQ14" s="61"/>
      <c r="DR14" s="179"/>
      <c r="DS14" s="175"/>
      <c r="DT14" s="176"/>
      <c r="DU14" s="177"/>
      <c r="DV14" s="175"/>
      <c r="DW14" s="176"/>
      <c r="DX14" s="176"/>
      <c r="DY14" s="176"/>
      <c r="DZ14" s="177"/>
      <c r="EA14" s="62"/>
      <c r="EB14" s="61"/>
      <c r="EC14" s="179"/>
      <c r="ED14" s="175"/>
      <c r="EE14" s="176"/>
      <c r="EF14" s="177"/>
      <c r="EG14" s="175"/>
      <c r="EH14" s="176"/>
      <c r="EI14" s="176"/>
      <c r="EJ14" s="176"/>
      <c r="EK14" s="177"/>
      <c r="EL14" s="62"/>
      <c r="EM14" s="61"/>
      <c r="EN14" s="179"/>
      <c r="EO14" s="175"/>
      <c r="EP14" s="176"/>
      <c r="EQ14" s="177"/>
      <c r="ER14" s="175"/>
      <c r="ES14" s="176"/>
      <c r="ET14" s="176"/>
      <c r="EU14" s="176"/>
      <c r="EV14" s="177"/>
      <c r="EW14" s="62"/>
      <c r="EX14" s="62"/>
    </row>
    <row r="15" spans="1:154" ht="46.15" customHeight="1">
      <c r="A15" s="21"/>
      <c r="B15" s="23"/>
      <c r="C15" s="188" t="s">
        <v>261</v>
      </c>
      <c r="D15" s="188"/>
      <c r="E15" s="182" t="s">
        <v>68</v>
      </c>
      <c r="F15" s="182"/>
      <c r="G15" s="182"/>
      <c r="H15" s="182"/>
      <c r="I15" s="23"/>
      <c r="J15" s="22"/>
      <c r="K15" s="61"/>
      <c r="L15" s="57">
        <f t="shared" si="0"/>
        <v>10</v>
      </c>
      <c r="M15" s="143" t="str">
        <f>+'Obracun indikatora uspjesnosti'!D21</f>
        <v>Proportion of metered registered connections</v>
      </c>
      <c r="N15" s="144"/>
      <c r="O15" s="46" t="str">
        <f>+'Obracun indikatora uspjesnosti'!F21</f>
        <v>%</v>
      </c>
      <c r="P15" s="146" t="s">
        <v>269</v>
      </c>
      <c r="Q15" s="147"/>
      <c r="R15" s="147"/>
      <c r="S15" s="148"/>
      <c r="T15" s="71">
        <f>+'Obracun indikatora uspjesnosti'!M21</f>
        <v>100</v>
      </c>
      <c r="U15" s="62"/>
      <c r="V15" s="61"/>
      <c r="W15" s="57">
        <f t="shared" si="1"/>
        <v>26</v>
      </c>
      <c r="X15" s="143" t="str">
        <f>+'Obracun indikatora uspjesnosti'!D53</f>
        <v>Staffing level</v>
      </c>
      <c r="Y15" s="145"/>
      <c r="Z15" s="46" t="str">
        <f>+'Obracun indikatora uspjesnosti'!F53</f>
        <v>Staff/1,000
connections</v>
      </c>
      <c r="AA15" s="146" t="s">
        <v>269</v>
      </c>
      <c r="AB15" s="147"/>
      <c r="AC15" s="147"/>
      <c r="AD15" s="148"/>
      <c r="AE15" s="71">
        <f>+'Obracun indikatora uspjesnosti'!M53</f>
        <v>5.0439006164767424</v>
      </c>
      <c r="AF15" s="62"/>
      <c r="AG15" s="61"/>
      <c r="AH15" s="57">
        <f t="shared" si="2"/>
        <v>42</v>
      </c>
      <c r="AI15" s="143"/>
      <c r="AJ15" s="145"/>
      <c r="AK15" s="46"/>
      <c r="AL15" s="71"/>
      <c r="AM15" s="71"/>
      <c r="AN15" s="71"/>
      <c r="AO15" s="71"/>
      <c r="AP15" s="71"/>
      <c r="AQ15" s="62"/>
      <c r="AR15" s="61"/>
      <c r="AS15" s="156"/>
      <c r="AT15" s="154"/>
      <c r="AU15" s="163"/>
      <c r="AV15" s="164"/>
      <c r="AW15" s="165"/>
      <c r="AX15" s="169"/>
      <c r="AY15" s="170"/>
      <c r="AZ15" s="170"/>
      <c r="BA15" s="171"/>
      <c r="BB15" s="62"/>
      <c r="BC15" s="61"/>
      <c r="BD15" s="156"/>
      <c r="BE15" s="154"/>
      <c r="BF15" s="163"/>
      <c r="BG15" s="164"/>
      <c r="BH15" s="165"/>
      <c r="BI15" s="169"/>
      <c r="BJ15" s="170"/>
      <c r="BK15" s="170"/>
      <c r="BL15" s="171"/>
      <c r="BM15" s="62"/>
      <c r="BN15" s="61"/>
      <c r="BO15" s="156"/>
      <c r="BP15" s="163"/>
      <c r="BQ15" s="163"/>
      <c r="BR15" s="164"/>
      <c r="BS15" s="165"/>
      <c r="BT15" s="169"/>
      <c r="BU15" s="170"/>
      <c r="BV15" s="170"/>
      <c r="BW15" s="171"/>
      <c r="BX15" s="62"/>
      <c r="BY15" s="61"/>
      <c r="BZ15" s="156"/>
      <c r="CA15" s="163"/>
      <c r="CB15" s="163"/>
      <c r="CC15" s="164"/>
      <c r="CD15" s="165"/>
      <c r="CE15" s="169"/>
      <c r="CF15" s="170"/>
      <c r="CG15" s="170"/>
      <c r="CH15" s="171"/>
      <c r="CI15" s="62"/>
      <c r="CJ15" s="61"/>
      <c r="CK15" s="156"/>
      <c r="CL15" s="163"/>
      <c r="CM15" s="163"/>
      <c r="CN15" s="164"/>
      <c r="CO15" s="165"/>
      <c r="CP15" s="169"/>
      <c r="CQ15" s="170"/>
      <c r="CR15" s="170"/>
      <c r="CS15" s="171"/>
      <c r="CT15" s="62"/>
      <c r="CU15" s="61"/>
      <c r="CV15" s="178">
        <f>CV13+1</f>
        <v>6</v>
      </c>
      <c r="CW15" s="172" t="str">
        <f>+'Obracun indikatora uspjesnosti'!D13</f>
        <v>Metered water sales</v>
      </c>
      <c r="CX15" s="173"/>
      <c r="CY15" s="174"/>
      <c r="CZ15" s="172" t="str">
        <f>+'Obracun indikatora uspjesnosti'!E13</f>
        <v>Ukupna godišnja izmjerena prodata voda izražena brojem stanovnika koje je usluženo po danu</v>
      </c>
      <c r="DA15" s="173"/>
      <c r="DB15" s="173"/>
      <c r="DC15" s="173"/>
      <c r="DD15" s="174"/>
      <c r="DE15" s="62"/>
      <c r="DF15" s="61"/>
      <c r="DG15" s="178">
        <f>DG13+1</f>
        <v>14</v>
      </c>
      <c r="DH15" s="172" t="str">
        <f>+'Obracun indikatora uspjesnosti'!D29</f>
        <v>Labour costs as a proportion of Direct Operating costs for wastewater operations</v>
      </c>
      <c r="DI15" s="173"/>
      <c r="DJ15" s="174"/>
      <c r="DK15" s="172" t="str">
        <f>+'Obracun indikatora uspjesnosti'!E29</f>
        <v>Ukupni godišnji troškovi rada (uključujući beneficije) izraženi u procentu ukupnih godišnjih operativnih troškova(isključujući amortizaciju, kamate i kredite) za otpadne vode</v>
      </c>
      <c r="DL15" s="173"/>
      <c r="DM15" s="173"/>
      <c r="DN15" s="173"/>
      <c r="DO15" s="174"/>
      <c r="DP15" s="62"/>
      <c r="DQ15" s="61"/>
      <c r="DR15" s="178">
        <f>DR13+1</f>
        <v>22</v>
      </c>
      <c r="DS15" s="172" t="str">
        <f>+'Obracun indikatora uspjesnosti'!D45</f>
        <v>Cumulative Collection rate</v>
      </c>
      <c r="DT15" s="173"/>
      <c r="DU15" s="174"/>
      <c r="DV15" s="172" t="str">
        <f>+'Obracun indikatora uspjesnosti'!E45</f>
        <v xml:space="preserve">Ukupna naplata / ukupno fakturiranje </v>
      </c>
      <c r="DW15" s="173"/>
      <c r="DX15" s="173"/>
      <c r="DY15" s="173"/>
      <c r="DZ15" s="174"/>
      <c r="EA15" s="62"/>
      <c r="EB15" s="61"/>
      <c r="EC15" s="178">
        <f>EC13+1</f>
        <v>30</v>
      </c>
      <c r="ED15" s="172" t="str">
        <f>+'Obracun indikatora uspjesnosti'!D61</f>
        <v>Number of water pipe breaks per km</v>
      </c>
      <c r="EE15" s="173"/>
      <c r="EF15" s="174"/>
      <c r="EG15" s="172" t="str">
        <f>+'Obracun indikatora uspjesnosti'!E61</f>
        <v>Ukupan broj kvarova na godišnjoj razini izražen po km distributivne mreže</v>
      </c>
      <c r="EH15" s="173"/>
      <c r="EI15" s="173"/>
      <c r="EJ15" s="173"/>
      <c r="EK15" s="174"/>
      <c r="EL15" s="62"/>
      <c r="EM15" s="61"/>
      <c r="EN15" s="178">
        <f>EN13+1</f>
        <v>38</v>
      </c>
      <c r="EO15" s="172"/>
      <c r="EP15" s="173"/>
      <c r="EQ15" s="174"/>
      <c r="ER15" s="172"/>
      <c r="ES15" s="173"/>
      <c r="ET15" s="173"/>
      <c r="EU15" s="173"/>
      <c r="EV15" s="174"/>
      <c r="EW15" s="62"/>
      <c r="EX15" s="62"/>
    </row>
    <row r="16" spans="1:154" ht="49.15" customHeight="1">
      <c r="A16" s="21"/>
      <c r="B16" s="24"/>
      <c r="C16" s="189"/>
      <c r="D16" s="189"/>
      <c r="E16" s="198" t="s">
        <v>262</v>
      </c>
      <c r="F16" s="198"/>
      <c r="G16" s="198"/>
      <c r="H16" s="198"/>
      <c r="I16" s="198"/>
      <c r="J16" s="22"/>
      <c r="K16" s="61"/>
      <c r="L16" s="57">
        <f t="shared" si="0"/>
        <v>11</v>
      </c>
      <c r="M16" s="143" t="str">
        <f>+'Obracun indikatora uspjesnosti'!D23</f>
        <v>Unit operating cost per m3 sold for water operations</v>
      </c>
      <c r="N16" s="144"/>
      <c r="O16" s="46" t="str">
        <f>+'Obracun indikatora uspjesnosti'!F23</f>
        <v>EUR/m3</v>
      </c>
      <c r="P16" s="146" t="s">
        <v>269</v>
      </c>
      <c r="Q16" s="147"/>
      <c r="R16" s="147"/>
      <c r="S16" s="148"/>
      <c r="T16" s="71">
        <f>+'Obracun indikatora uspjesnosti'!M23</f>
        <v>9.8070010647386212</v>
      </c>
      <c r="U16" s="62"/>
      <c r="V16" s="61"/>
      <c r="W16" s="57">
        <f t="shared" si="1"/>
        <v>27</v>
      </c>
      <c r="X16" s="143" t="str">
        <f>+'Obracun indikatora uspjesnosti'!D55</f>
        <v>Staff training hours</v>
      </c>
      <c r="Y16" s="145"/>
      <c r="Z16" s="46" t="str">
        <f>+'Obracun indikatora uspjesnosti'!F55</f>
        <v>training
hours/employee/y
ear</v>
      </c>
      <c r="AA16" s="146" t="s">
        <v>269</v>
      </c>
      <c r="AB16" s="147"/>
      <c r="AC16" s="147"/>
      <c r="AD16" s="148"/>
      <c r="AE16" s="71">
        <f>+'Obracun indikatora uspjesnosti'!M55</f>
        <v>1.2195121951219512</v>
      </c>
      <c r="AF16" s="62"/>
      <c r="AG16" s="61"/>
      <c r="AH16" s="57">
        <f t="shared" si="2"/>
        <v>43</v>
      </c>
      <c r="AI16" s="143"/>
      <c r="AJ16" s="145"/>
      <c r="AK16" s="46"/>
      <c r="AL16" s="71"/>
      <c r="AM16" s="71"/>
      <c r="AN16" s="71"/>
      <c r="AO16" s="71"/>
      <c r="AP16" s="71"/>
      <c r="AQ16" s="62"/>
      <c r="AR16" s="61"/>
      <c r="AS16" s="155">
        <f>AS14+1</f>
        <v>6</v>
      </c>
      <c r="AT16" s="154"/>
      <c r="AU16" s="160"/>
      <c r="AV16" s="161"/>
      <c r="AW16" s="162"/>
      <c r="AX16" s="166"/>
      <c r="AY16" s="167"/>
      <c r="AZ16" s="167"/>
      <c r="BA16" s="168"/>
      <c r="BB16" s="62"/>
      <c r="BC16" s="61"/>
      <c r="BD16" s="155">
        <f>BD14+1</f>
        <v>14</v>
      </c>
      <c r="BE16" s="154"/>
      <c r="BF16" s="160"/>
      <c r="BG16" s="161"/>
      <c r="BH16" s="162"/>
      <c r="BI16" s="166"/>
      <c r="BJ16" s="167"/>
      <c r="BK16" s="167"/>
      <c r="BL16" s="168"/>
      <c r="BM16" s="62"/>
      <c r="BN16" s="61"/>
      <c r="BO16" s="155">
        <f>BO14+1</f>
        <v>22</v>
      </c>
      <c r="BP16" s="160"/>
      <c r="BQ16" s="160"/>
      <c r="BR16" s="161"/>
      <c r="BS16" s="162"/>
      <c r="BT16" s="166"/>
      <c r="BU16" s="167"/>
      <c r="BV16" s="167"/>
      <c r="BW16" s="168"/>
      <c r="BX16" s="62"/>
      <c r="BY16" s="61"/>
      <c r="BZ16" s="155">
        <f>BZ14+1</f>
        <v>30</v>
      </c>
      <c r="CA16" s="160"/>
      <c r="CB16" s="160"/>
      <c r="CC16" s="161"/>
      <c r="CD16" s="162"/>
      <c r="CE16" s="166"/>
      <c r="CF16" s="167"/>
      <c r="CG16" s="167"/>
      <c r="CH16" s="168"/>
      <c r="CI16" s="62"/>
      <c r="CJ16" s="61"/>
      <c r="CK16" s="155">
        <f>CK14+1</f>
        <v>38</v>
      </c>
      <c r="CL16" s="160"/>
      <c r="CM16" s="160"/>
      <c r="CN16" s="161"/>
      <c r="CO16" s="162"/>
      <c r="CP16" s="166"/>
      <c r="CQ16" s="167"/>
      <c r="CR16" s="167"/>
      <c r="CS16" s="168"/>
      <c r="CT16" s="62"/>
      <c r="CU16" s="61"/>
      <c r="CV16" s="179"/>
      <c r="CW16" s="175"/>
      <c r="CX16" s="176"/>
      <c r="CY16" s="177"/>
      <c r="CZ16" s="175"/>
      <c r="DA16" s="176"/>
      <c r="DB16" s="176"/>
      <c r="DC16" s="176"/>
      <c r="DD16" s="177"/>
      <c r="DE16" s="62"/>
      <c r="DF16" s="61"/>
      <c r="DG16" s="179"/>
      <c r="DH16" s="175"/>
      <c r="DI16" s="176"/>
      <c r="DJ16" s="177"/>
      <c r="DK16" s="175"/>
      <c r="DL16" s="176"/>
      <c r="DM16" s="176"/>
      <c r="DN16" s="176"/>
      <c r="DO16" s="177"/>
      <c r="DP16" s="62"/>
      <c r="DQ16" s="61"/>
      <c r="DR16" s="179"/>
      <c r="DS16" s="175"/>
      <c r="DT16" s="176"/>
      <c r="DU16" s="177"/>
      <c r="DV16" s="175"/>
      <c r="DW16" s="176"/>
      <c r="DX16" s="176"/>
      <c r="DY16" s="176"/>
      <c r="DZ16" s="177"/>
      <c r="EA16" s="62"/>
      <c r="EB16" s="61"/>
      <c r="EC16" s="179"/>
      <c r="ED16" s="175"/>
      <c r="EE16" s="176"/>
      <c r="EF16" s="177"/>
      <c r="EG16" s="175"/>
      <c r="EH16" s="176"/>
      <c r="EI16" s="176"/>
      <c r="EJ16" s="176"/>
      <c r="EK16" s="177"/>
      <c r="EL16" s="62"/>
      <c r="EM16" s="61"/>
      <c r="EN16" s="179"/>
      <c r="EO16" s="175"/>
      <c r="EP16" s="176"/>
      <c r="EQ16" s="177"/>
      <c r="ER16" s="175"/>
      <c r="ES16" s="176"/>
      <c r="ET16" s="176"/>
      <c r="EU16" s="176"/>
      <c r="EV16" s="177"/>
      <c r="EW16" s="62"/>
      <c r="EX16" s="62"/>
    </row>
    <row r="17" spans="1:154" ht="45" customHeight="1">
      <c r="A17" s="21"/>
      <c r="B17" s="23"/>
      <c r="C17" s="196" t="s">
        <v>263</v>
      </c>
      <c r="D17" s="196"/>
      <c r="E17" s="197" t="s">
        <v>18</v>
      </c>
      <c r="F17" s="197"/>
      <c r="G17" s="197"/>
      <c r="H17" s="197"/>
      <c r="I17" s="40"/>
      <c r="J17" s="22"/>
      <c r="K17" s="61"/>
      <c r="L17" s="57">
        <f t="shared" si="0"/>
        <v>12</v>
      </c>
      <c r="M17" s="143" t="str">
        <f>+'Obracun indikatora uspjesnosti'!D25</f>
        <v>Unit operating cost per m3 sold for wastewater operations</v>
      </c>
      <c r="N17" s="144"/>
      <c r="O17" s="46" t="str">
        <f>+'Obracun indikatora uspjesnosti'!F25</f>
        <v>KM/m3</v>
      </c>
      <c r="P17" s="146" t="s">
        <v>269</v>
      </c>
      <c r="Q17" s="147"/>
      <c r="R17" s="147"/>
      <c r="S17" s="148"/>
      <c r="T17" s="71">
        <f>+'Obracun indikatora uspjesnosti'!M25</f>
        <v>0.3033093112805762</v>
      </c>
      <c r="U17" s="62"/>
      <c r="V17" s="61"/>
      <c r="W17" s="57">
        <f t="shared" si="1"/>
        <v>28</v>
      </c>
      <c r="X17" s="143" t="str">
        <f>+'Obracun indikatora uspjesnosti'!D57</f>
        <v>Water service complaints</v>
      </c>
      <c r="Y17" s="145"/>
      <c r="Z17" s="46" t="str">
        <f>+'Obracun indikatora uspjesnosti'!F57</f>
        <v>no. of
complaints/1,000
conn./year</v>
      </c>
      <c r="AA17" s="146" t="s">
        <v>269</v>
      </c>
      <c r="AB17" s="147"/>
      <c r="AC17" s="147"/>
      <c r="AD17" s="148"/>
      <c r="AE17" s="71">
        <f>+'Obracun indikatora uspjesnosti'!M57</f>
        <v>1.1831371816426928</v>
      </c>
      <c r="AF17" s="62"/>
      <c r="AG17" s="61"/>
      <c r="AH17" s="57">
        <f t="shared" si="2"/>
        <v>44</v>
      </c>
      <c r="AI17" s="143"/>
      <c r="AJ17" s="145"/>
      <c r="AK17" s="46"/>
      <c r="AL17" s="71"/>
      <c r="AM17" s="71"/>
      <c r="AN17" s="71"/>
      <c r="AO17" s="71"/>
      <c r="AP17" s="71"/>
      <c r="AQ17" s="62"/>
      <c r="AR17" s="61"/>
      <c r="AS17" s="156"/>
      <c r="AT17" s="154"/>
      <c r="AU17" s="163"/>
      <c r="AV17" s="164"/>
      <c r="AW17" s="165"/>
      <c r="AX17" s="169"/>
      <c r="AY17" s="170"/>
      <c r="AZ17" s="170"/>
      <c r="BA17" s="171"/>
      <c r="BB17" s="62"/>
      <c r="BC17" s="61"/>
      <c r="BD17" s="156"/>
      <c r="BE17" s="154"/>
      <c r="BF17" s="163"/>
      <c r="BG17" s="164"/>
      <c r="BH17" s="165"/>
      <c r="BI17" s="169"/>
      <c r="BJ17" s="170"/>
      <c r="BK17" s="170"/>
      <c r="BL17" s="171"/>
      <c r="BM17" s="62"/>
      <c r="BN17" s="61"/>
      <c r="BO17" s="156"/>
      <c r="BP17" s="163"/>
      <c r="BQ17" s="163"/>
      <c r="BR17" s="164"/>
      <c r="BS17" s="165"/>
      <c r="BT17" s="169"/>
      <c r="BU17" s="170"/>
      <c r="BV17" s="170"/>
      <c r="BW17" s="171"/>
      <c r="BX17" s="62"/>
      <c r="BY17" s="61"/>
      <c r="BZ17" s="156"/>
      <c r="CA17" s="163"/>
      <c r="CB17" s="163"/>
      <c r="CC17" s="164"/>
      <c r="CD17" s="165"/>
      <c r="CE17" s="169"/>
      <c r="CF17" s="170"/>
      <c r="CG17" s="170"/>
      <c r="CH17" s="171"/>
      <c r="CI17" s="62"/>
      <c r="CJ17" s="61"/>
      <c r="CK17" s="156"/>
      <c r="CL17" s="163"/>
      <c r="CM17" s="163"/>
      <c r="CN17" s="164"/>
      <c r="CO17" s="165"/>
      <c r="CP17" s="169"/>
      <c r="CQ17" s="170"/>
      <c r="CR17" s="170"/>
      <c r="CS17" s="171"/>
      <c r="CT17" s="62"/>
      <c r="CU17" s="61"/>
      <c r="CV17" s="178">
        <f>CV15+1</f>
        <v>7</v>
      </c>
      <c r="CW17" s="172" t="str">
        <f>+'Obracun indikatora uspjesnosti'!D15</f>
        <v>Non revenue water (very rough estimation!!!)</v>
      </c>
      <c r="CX17" s="173"/>
      <c r="CY17" s="174"/>
      <c r="CZ17" s="172" t="str">
        <f>+'Obracun indikatora uspjesnosti'!E15</f>
        <v>Razlika između crpljene i prodate vode  (odnosno zapremina "gubitaka") izražena postotkom  crpljene vode</v>
      </c>
      <c r="DA17" s="173"/>
      <c r="DB17" s="173"/>
      <c r="DC17" s="173"/>
      <c r="DD17" s="174"/>
      <c r="DE17" s="62"/>
      <c r="DF17" s="61"/>
      <c r="DG17" s="178">
        <f>DG15+1</f>
        <v>15</v>
      </c>
      <c r="DH17" s="172" t="str">
        <f>+'Obracun indikatora uspjesnosti'!D31</f>
        <v>Energy costs as a proportion of Direct Operating costs for water operations</v>
      </c>
      <c r="DI17" s="173"/>
      <c r="DJ17" s="174"/>
      <c r="DK17" s="172" t="str">
        <f>+'Obracun indikatora uspjesnosti'!E31</f>
        <v xml:space="preserve">Godišnji troškovi energije izraženi postotkom ukupnih godišnjih operativnih troškova (isključujući amortizaciju, kredite i kamate) za vodu </v>
      </c>
      <c r="DL17" s="173"/>
      <c r="DM17" s="173"/>
      <c r="DN17" s="173"/>
      <c r="DO17" s="174"/>
      <c r="DP17" s="62"/>
      <c r="DQ17" s="61"/>
      <c r="DR17" s="178">
        <f>DR15+1</f>
        <v>23</v>
      </c>
      <c r="DS17" s="172" t="str">
        <f>+'Obracun indikatora uspjesnosti'!D47</f>
        <v>Operating cost coverage from revenues</v>
      </c>
      <c r="DT17" s="173"/>
      <c r="DU17" s="174"/>
      <c r="DV17" s="172" t="str">
        <f>+'Obracun indikatora uspjesnosti'!E47</f>
        <v>Ukupni godišnji operativni prihodi / ukupni godišnji operativni troškovi, izraženi procentom</v>
      </c>
      <c r="DW17" s="173"/>
      <c r="DX17" s="173"/>
      <c r="DY17" s="173"/>
      <c r="DZ17" s="174"/>
      <c r="EA17" s="62"/>
      <c r="EB17" s="61"/>
      <c r="EC17" s="178">
        <f>EC15+1</f>
        <v>31</v>
      </c>
      <c r="ED17" s="172" t="str">
        <f>+'Obracun indikatora uspjesnosti'!D63</f>
        <v>Number of water pipe breaks per connections</v>
      </c>
      <c r="EE17" s="173"/>
      <c r="EF17" s="174"/>
      <c r="EG17" s="172" t="str">
        <f>+'Obracun indikatora uspjesnosti'!E63</f>
        <v>Ukupan broj kvarova na godišnjoj razini izražen brojem priključaka</v>
      </c>
      <c r="EH17" s="173"/>
      <c r="EI17" s="173"/>
      <c r="EJ17" s="173"/>
      <c r="EK17" s="174"/>
      <c r="EL17" s="62"/>
      <c r="EM17" s="61"/>
      <c r="EN17" s="178">
        <f>EN15+1</f>
        <v>39</v>
      </c>
      <c r="EO17" s="172"/>
      <c r="EP17" s="173"/>
      <c r="EQ17" s="174"/>
      <c r="ER17" s="172"/>
      <c r="ES17" s="173"/>
      <c r="ET17" s="173"/>
      <c r="EU17" s="173"/>
      <c r="EV17" s="174"/>
      <c r="EW17" s="62"/>
      <c r="EX17" s="62"/>
    </row>
    <row r="18" spans="1:154" ht="46.15" customHeight="1">
      <c r="A18" s="21"/>
      <c r="B18" s="23"/>
      <c r="C18" s="195"/>
      <c r="D18" s="196"/>
      <c r="E18" s="198" t="s">
        <v>264</v>
      </c>
      <c r="F18" s="198"/>
      <c r="G18" s="198"/>
      <c r="H18" s="198"/>
      <c r="I18" s="198"/>
      <c r="J18" s="22"/>
      <c r="K18" s="61"/>
      <c r="L18" s="57">
        <f t="shared" si="0"/>
        <v>13</v>
      </c>
      <c r="M18" s="143" t="str">
        <f>+'Obracun indikatora uspjesnosti'!D27</f>
        <v>Labour costs as a proportion of Direct Operating costs for water operations</v>
      </c>
      <c r="N18" s="144"/>
      <c r="O18" s="46" t="str">
        <f>+'Obracun indikatora uspjesnosti'!F27</f>
        <v>%</v>
      </c>
      <c r="P18" s="146" t="s">
        <v>269</v>
      </c>
      <c r="Q18" s="147"/>
      <c r="R18" s="147"/>
      <c r="S18" s="148"/>
      <c r="T18" s="71">
        <f>+'Obracun indikatora uspjesnosti'!M27</f>
        <v>67.155095963507719</v>
      </c>
      <c r="U18" s="62"/>
      <c r="V18" s="61"/>
      <c r="W18" s="57">
        <f t="shared" si="1"/>
        <v>29</v>
      </c>
      <c r="X18" s="143" t="str">
        <f>+'Obracun indikatora uspjesnosti'!D59</f>
        <v>Quality of water</v>
      </c>
      <c r="Y18" s="145"/>
      <c r="Z18" s="46" t="str">
        <f>+'Obracun indikatora uspjesnosti'!F59</f>
        <v>%</v>
      </c>
      <c r="AA18" s="71">
        <f>+'Obracun indikatora uspjesnosti'!I59</f>
        <v>100</v>
      </c>
      <c r="AB18" s="71">
        <f>+'Obracun indikatora uspjesnosti'!J59</f>
        <v>100</v>
      </c>
      <c r="AC18" s="71">
        <f>+'Obracun indikatora uspjesnosti'!K59</f>
        <v>100</v>
      </c>
      <c r="AD18" s="71">
        <f>+'Obracun indikatora uspjesnosti'!L59</f>
        <v>100</v>
      </c>
      <c r="AE18" s="71">
        <f>+'Obracun indikatora uspjesnosti'!M59</f>
        <v>100</v>
      </c>
      <c r="AF18" s="62"/>
      <c r="AG18" s="61"/>
      <c r="AH18" s="57">
        <f t="shared" si="2"/>
        <v>45</v>
      </c>
      <c r="AI18" s="143"/>
      <c r="AJ18" s="145"/>
      <c r="AK18" s="46"/>
      <c r="AL18" s="71"/>
      <c r="AM18" s="71"/>
      <c r="AN18" s="71"/>
      <c r="AO18" s="71"/>
      <c r="AP18" s="71"/>
      <c r="AQ18" s="62"/>
      <c r="AR18" s="61"/>
      <c r="AS18" s="155">
        <f>AS16+1</f>
        <v>7</v>
      </c>
      <c r="AT18" s="154"/>
      <c r="AU18" s="160"/>
      <c r="AV18" s="161"/>
      <c r="AW18" s="162"/>
      <c r="AX18" s="166"/>
      <c r="AY18" s="167"/>
      <c r="AZ18" s="167"/>
      <c r="BA18" s="168"/>
      <c r="BB18" s="62"/>
      <c r="BC18" s="61"/>
      <c r="BD18" s="155">
        <f>BD16+1</f>
        <v>15</v>
      </c>
      <c r="BE18" s="154"/>
      <c r="BF18" s="160"/>
      <c r="BG18" s="161"/>
      <c r="BH18" s="162"/>
      <c r="BI18" s="166"/>
      <c r="BJ18" s="167"/>
      <c r="BK18" s="167"/>
      <c r="BL18" s="168"/>
      <c r="BM18" s="62"/>
      <c r="BN18" s="61"/>
      <c r="BO18" s="155">
        <f>BO16+1</f>
        <v>23</v>
      </c>
      <c r="BP18" s="160"/>
      <c r="BQ18" s="160"/>
      <c r="BR18" s="161"/>
      <c r="BS18" s="162"/>
      <c r="BT18" s="166"/>
      <c r="BU18" s="167"/>
      <c r="BV18" s="167"/>
      <c r="BW18" s="168"/>
      <c r="BX18" s="62"/>
      <c r="BY18" s="61"/>
      <c r="BZ18" s="155">
        <f>BZ16+1</f>
        <v>31</v>
      </c>
      <c r="CA18" s="160"/>
      <c r="CB18" s="160"/>
      <c r="CC18" s="161"/>
      <c r="CD18" s="162"/>
      <c r="CE18" s="166"/>
      <c r="CF18" s="167"/>
      <c r="CG18" s="167"/>
      <c r="CH18" s="168"/>
      <c r="CI18" s="62"/>
      <c r="CJ18" s="61"/>
      <c r="CK18" s="155">
        <f>CK16+1</f>
        <v>39</v>
      </c>
      <c r="CL18" s="160"/>
      <c r="CM18" s="160"/>
      <c r="CN18" s="161"/>
      <c r="CO18" s="162"/>
      <c r="CP18" s="166"/>
      <c r="CQ18" s="167"/>
      <c r="CR18" s="167"/>
      <c r="CS18" s="168"/>
      <c r="CT18" s="62"/>
      <c r="CU18" s="61"/>
      <c r="CV18" s="179"/>
      <c r="CW18" s="175"/>
      <c r="CX18" s="176"/>
      <c r="CY18" s="177"/>
      <c r="CZ18" s="175"/>
      <c r="DA18" s="176"/>
      <c r="DB18" s="176"/>
      <c r="DC18" s="176"/>
      <c r="DD18" s="177"/>
      <c r="DE18" s="62"/>
      <c r="DF18" s="61"/>
      <c r="DG18" s="179"/>
      <c r="DH18" s="175"/>
      <c r="DI18" s="176"/>
      <c r="DJ18" s="177"/>
      <c r="DK18" s="175"/>
      <c r="DL18" s="176"/>
      <c r="DM18" s="176"/>
      <c r="DN18" s="176"/>
      <c r="DO18" s="177"/>
      <c r="DP18" s="62"/>
      <c r="DQ18" s="61"/>
      <c r="DR18" s="179"/>
      <c r="DS18" s="175"/>
      <c r="DT18" s="176"/>
      <c r="DU18" s="177"/>
      <c r="DV18" s="175"/>
      <c r="DW18" s="176"/>
      <c r="DX18" s="176"/>
      <c r="DY18" s="176"/>
      <c r="DZ18" s="177"/>
      <c r="EA18" s="62"/>
      <c r="EB18" s="61"/>
      <c r="EC18" s="179"/>
      <c r="ED18" s="175"/>
      <c r="EE18" s="176"/>
      <c r="EF18" s="177"/>
      <c r="EG18" s="175"/>
      <c r="EH18" s="176"/>
      <c r="EI18" s="176"/>
      <c r="EJ18" s="176"/>
      <c r="EK18" s="177"/>
      <c r="EL18" s="62"/>
      <c r="EM18" s="61"/>
      <c r="EN18" s="179"/>
      <c r="EO18" s="175"/>
      <c r="EP18" s="176"/>
      <c r="EQ18" s="177"/>
      <c r="ER18" s="175"/>
      <c r="ES18" s="176"/>
      <c r="ET18" s="176"/>
      <c r="EU18" s="176"/>
      <c r="EV18" s="177"/>
      <c r="EW18" s="62"/>
      <c r="EX18" s="62"/>
    </row>
    <row r="19" spans="1:154" ht="45" customHeight="1">
      <c r="A19" s="21"/>
      <c r="B19" s="23"/>
      <c r="C19" s="23"/>
      <c r="D19" s="115" t="s">
        <v>265</v>
      </c>
      <c r="E19" s="209"/>
      <c r="F19" s="209"/>
      <c r="G19" s="209"/>
      <c r="H19" s="209"/>
      <c r="I19" s="25"/>
      <c r="J19" s="22"/>
      <c r="K19" s="61"/>
      <c r="L19" s="57">
        <f t="shared" si="0"/>
        <v>14</v>
      </c>
      <c r="M19" s="143" t="str">
        <f>+'Obracun indikatora uspjesnosti'!D29</f>
        <v>Labour costs as a proportion of Direct Operating costs for wastewater operations</v>
      </c>
      <c r="N19" s="144"/>
      <c r="O19" s="46" t="str">
        <f>+'Obracun indikatora uspjesnosti'!F29</f>
        <v>%</v>
      </c>
      <c r="P19" s="146" t="s">
        <v>269</v>
      </c>
      <c r="Q19" s="147"/>
      <c r="R19" s="147"/>
      <c r="S19" s="148"/>
      <c r="T19" s="71">
        <f>+'Obracun indikatora uspjesnosti'!M29</f>
        <v>90.472837617503444</v>
      </c>
      <c r="U19" s="62"/>
      <c r="V19" s="61"/>
      <c r="W19" s="57">
        <f t="shared" si="1"/>
        <v>30</v>
      </c>
      <c r="X19" s="143" t="str">
        <f>+'Obracun indikatora uspjesnosti'!D61</f>
        <v>Number of water pipe breaks per km</v>
      </c>
      <c r="Y19" s="145"/>
      <c r="Z19" s="46" t="str">
        <f>+'Obracun indikatora uspjesnosti'!F61</f>
        <v>breaks/km/month</v>
      </c>
      <c r="AA19" s="71">
        <f>+'Obracun indikatora uspjesnosti'!I61</f>
        <v>0.6214995483288166</v>
      </c>
      <c r="AB19" s="71">
        <f>+'Obracun indikatora uspjesnosti'!J61</f>
        <v>0.6449864498644986</v>
      </c>
      <c r="AC19" s="71">
        <f>+'Obracun indikatora uspjesnosti'!K61</f>
        <v>0.6775067750677507</v>
      </c>
      <c r="AD19" s="71">
        <f>+'Obracun indikatora uspjesnosti'!L61</f>
        <v>0.57452574525745259</v>
      </c>
      <c r="AE19" s="71">
        <f>+'Obracun indikatora uspjesnosti'!M61</f>
        <v>0.62962962962962965</v>
      </c>
      <c r="AF19" s="62"/>
      <c r="AG19" s="61"/>
      <c r="AH19" s="57">
        <f t="shared" si="2"/>
        <v>46</v>
      </c>
      <c r="AI19" s="143"/>
      <c r="AJ19" s="145"/>
      <c r="AK19" s="46"/>
      <c r="AL19" s="71"/>
      <c r="AM19" s="71"/>
      <c r="AN19" s="71"/>
      <c r="AO19" s="71"/>
      <c r="AP19" s="71"/>
      <c r="AQ19" s="62"/>
      <c r="AR19" s="61"/>
      <c r="AS19" s="156"/>
      <c r="AT19" s="154"/>
      <c r="AU19" s="163"/>
      <c r="AV19" s="164"/>
      <c r="AW19" s="165"/>
      <c r="AX19" s="169"/>
      <c r="AY19" s="170"/>
      <c r="AZ19" s="170"/>
      <c r="BA19" s="171"/>
      <c r="BB19" s="62"/>
      <c r="BC19" s="61"/>
      <c r="BD19" s="156"/>
      <c r="BE19" s="154"/>
      <c r="BF19" s="163"/>
      <c r="BG19" s="164"/>
      <c r="BH19" s="165"/>
      <c r="BI19" s="169"/>
      <c r="BJ19" s="170"/>
      <c r="BK19" s="170"/>
      <c r="BL19" s="171"/>
      <c r="BM19" s="62"/>
      <c r="BN19" s="61"/>
      <c r="BO19" s="156"/>
      <c r="BP19" s="163"/>
      <c r="BQ19" s="163"/>
      <c r="BR19" s="164"/>
      <c r="BS19" s="165"/>
      <c r="BT19" s="169"/>
      <c r="BU19" s="170"/>
      <c r="BV19" s="170"/>
      <c r="BW19" s="171"/>
      <c r="BX19" s="62"/>
      <c r="BY19" s="61"/>
      <c r="BZ19" s="156"/>
      <c r="CA19" s="163"/>
      <c r="CB19" s="163"/>
      <c r="CC19" s="164"/>
      <c r="CD19" s="165"/>
      <c r="CE19" s="169"/>
      <c r="CF19" s="170"/>
      <c r="CG19" s="170"/>
      <c r="CH19" s="171"/>
      <c r="CI19" s="62"/>
      <c r="CJ19" s="61"/>
      <c r="CK19" s="156"/>
      <c r="CL19" s="163"/>
      <c r="CM19" s="163"/>
      <c r="CN19" s="164"/>
      <c r="CO19" s="165"/>
      <c r="CP19" s="169"/>
      <c r="CQ19" s="170"/>
      <c r="CR19" s="170"/>
      <c r="CS19" s="171"/>
      <c r="CT19" s="62"/>
      <c r="CU19" s="61"/>
      <c r="CV19" s="178">
        <f>CV17+1</f>
        <v>8</v>
      </c>
      <c r="CW19" s="172" t="str">
        <f>+'Obracun indikatora uspjesnosti'!D17</f>
        <v>Non revenue water (very rough estimation!!!)</v>
      </c>
      <c r="CX19" s="173"/>
      <c r="CY19" s="174"/>
      <c r="CZ19" s="172" t="str">
        <f>+'Obracun indikatora uspjesnosti'!E17</f>
        <v>Zapremina "gubitaka vode" po priključku</v>
      </c>
      <c r="DA19" s="173"/>
      <c r="DB19" s="173"/>
      <c r="DC19" s="173"/>
      <c r="DD19" s="174"/>
      <c r="DE19" s="62"/>
      <c r="DF19" s="61"/>
      <c r="DG19" s="178">
        <f>DG17+1</f>
        <v>16</v>
      </c>
      <c r="DH19" s="172" t="str">
        <f>+'Obracun indikatora uspjesnosti'!D33</f>
        <v>Energy costs as a proportion of Direct Operating costs for wastewater operations</v>
      </c>
      <c r="DI19" s="173"/>
      <c r="DJ19" s="174"/>
      <c r="DK19" s="172" t="str">
        <f>+'Obracun indikatora uspjesnosti'!E33</f>
        <v>Godišnji troškovi energije izraženi postotkom ukupnih godišnjih operativnih troškova (isključujući amortizaciju, kredite i kamate) za otpadne vode</v>
      </c>
      <c r="DL19" s="173"/>
      <c r="DM19" s="173"/>
      <c r="DN19" s="173"/>
      <c r="DO19" s="174"/>
      <c r="DP19" s="62"/>
      <c r="DQ19" s="61"/>
      <c r="DR19" s="178">
        <f>DR17+1</f>
        <v>24</v>
      </c>
      <c r="DS19" s="172" t="str">
        <f>+'Obracun indikatora uspjesnosti'!D49</f>
        <v>Operating cost coverage from collections</v>
      </c>
      <c r="DT19" s="173"/>
      <c r="DU19" s="174"/>
      <c r="DV19" s="172" t="str">
        <f>+'Obracun indikatora uspjesnosti'!E49</f>
        <v>ukupna godišnja naplata / ukupni godišnji operativni troškovi</v>
      </c>
      <c r="DW19" s="173"/>
      <c r="DX19" s="173"/>
      <c r="DY19" s="173"/>
      <c r="DZ19" s="174"/>
      <c r="EA19" s="62"/>
      <c r="EB19" s="61"/>
      <c r="EC19" s="178">
        <f>EC17+1</f>
        <v>32</v>
      </c>
      <c r="ED19" s="172" t="str">
        <f>+'Obracun indikatora uspjesnosti'!D65</f>
        <v>Current Collection Rate</v>
      </c>
      <c r="EE19" s="173"/>
      <c r="EF19" s="174"/>
      <c r="EG19" s="172" t="str">
        <f>+'Obracun indikatora uspjesnosti'!E65</f>
        <v>Ukupna naplata u određenom periodu izvještavanja / Ukupno fakturiranje u istom periodu izvještavanja, izraženo postotkom</v>
      </c>
      <c r="EH19" s="173"/>
      <c r="EI19" s="173"/>
      <c r="EJ19" s="173"/>
      <c r="EK19" s="174"/>
      <c r="EL19" s="62"/>
      <c r="EM19" s="61"/>
      <c r="EN19" s="178">
        <f>EN17+1</f>
        <v>40</v>
      </c>
      <c r="EO19" s="172"/>
      <c r="EP19" s="173"/>
      <c r="EQ19" s="174"/>
      <c r="ER19" s="172"/>
      <c r="ES19" s="173"/>
      <c r="ET19" s="173"/>
      <c r="EU19" s="173"/>
      <c r="EV19" s="174"/>
      <c r="EW19" s="62"/>
      <c r="EX19" s="62"/>
    </row>
    <row r="20" spans="1:154" ht="44.45" customHeight="1">
      <c r="A20" s="21"/>
      <c r="B20" s="23"/>
      <c r="C20" s="23"/>
      <c r="D20" s="69"/>
      <c r="E20" s="207" t="s">
        <v>268</v>
      </c>
      <c r="F20" s="207"/>
      <c r="G20" s="25"/>
      <c r="H20" s="25"/>
      <c r="I20" s="25"/>
      <c r="J20" s="22"/>
      <c r="K20" s="61"/>
      <c r="L20" s="57">
        <f t="shared" si="0"/>
        <v>15</v>
      </c>
      <c r="M20" s="143" t="str">
        <f>+'Obracun indikatora uspjesnosti'!D31</f>
        <v>Energy costs as a proportion of Direct Operating costs for water operations</v>
      </c>
      <c r="N20" s="144"/>
      <c r="O20" s="46" t="str">
        <f>+'Obracun indikatora uspjesnosti'!F31</f>
        <v>%</v>
      </c>
      <c r="P20" s="146" t="s">
        <v>270</v>
      </c>
      <c r="Q20" s="147"/>
      <c r="R20" s="147"/>
      <c r="S20" s="148"/>
      <c r="T20" s="71">
        <f>+'Obracun indikatora uspjesnosti'!M31</f>
        <v>15.741290308004535</v>
      </c>
      <c r="U20" s="62"/>
      <c r="V20" s="61"/>
      <c r="W20" s="57">
        <f t="shared" si="1"/>
        <v>31</v>
      </c>
      <c r="X20" s="143" t="str">
        <f>+'Obracun indikatora uspjesnosti'!D63</f>
        <v>Number of water pipe breaks per connections</v>
      </c>
      <c r="Y20" s="145"/>
      <c r="Z20" s="46" t="str">
        <f>+'Obracun indikatora uspjesnosti'!F63</f>
        <v>breaks/conn./mont
h</v>
      </c>
      <c r="AA20" s="71">
        <f>+'Obracun indikatora uspjesnosti'!I63</f>
        <v>2.1421010025530856E-2</v>
      </c>
      <c r="AB20" s="71">
        <f>+'Obracun indikatora uspjesnosti'!J63</f>
        <v>2.2230524939286383E-2</v>
      </c>
      <c r="AC20" s="71">
        <f>+'Obracun indikatora uspjesnosti'!K63</f>
        <v>2.3351391742947879E-2</v>
      </c>
      <c r="AD20" s="71">
        <f>+'Obracun indikatora uspjesnosti'!L63</f>
        <v>1.9801980198019802E-2</v>
      </c>
      <c r="AE20" s="71">
        <f>+'Obracun indikatora uspjesnosti'!M63</f>
        <v>2.170122672644623E-2</v>
      </c>
      <c r="AF20" s="62"/>
      <c r="AG20" s="61"/>
      <c r="AH20" s="57">
        <f t="shared" si="2"/>
        <v>47</v>
      </c>
      <c r="AI20" s="143"/>
      <c r="AJ20" s="145"/>
      <c r="AK20" s="46"/>
      <c r="AL20" s="71"/>
      <c r="AM20" s="71"/>
      <c r="AN20" s="71"/>
      <c r="AO20" s="71"/>
      <c r="AP20" s="71"/>
      <c r="AQ20" s="62"/>
      <c r="AR20" s="61"/>
      <c r="AS20" s="155">
        <f>AS18+1</f>
        <v>8</v>
      </c>
      <c r="AT20" s="154"/>
      <c r="AU20" s="160"/>
      <c r="AV20" s="161"/>
      <c r="AW20" s="162"/>
      <c r="AX20" s="166"/>
      <c r="AY20" s="167"/>
      <c r="AZ20" s="167"/>
      <c r="BA20" s="168"/>
      <c r="BB20" s="62"/>
      <c r="BC20" s="61"/>
      <c r="BD20" s="155">
        <f>BD18+1</f>
        <v>16</v>
      </c>
      <c r="BE20" s="154"/>
      <c r="BF20" s="160"/>
      <c r="BG20" s="161"/>
      <c r="BH20" s="162"/>
      <c r="BI20" s="166"/>
      <c r="BJ20" s="167"/>
      <c r="BK20" s="167"/>
      <c r="BL20" s="168"/>
      <c r="BM20" s="62"/>
      <c r="BN20" s="61"/>
      <c r="BO20" s="155">
        <f>BO18+1</f>
        <v>24</v>
      </c>
      <c r="BP20" s="160"/>
      <c r="BQ20" s="160"/>
      <c r="BR20" s="161"/>
      <c r="BS20" s="162"/>
      <c r="BT20" s="166"/>
      <c r="BU20" s="167"/>
      <c r="BV20" s="167"/>
      <c r="BW20" s="168"/>
      <c r="BX20" s="62"/>
      <c r="BY20" s="61"/>
      <c r="BZ20" s="155">
        <f>BZ18+1</f>
        <v>32</v>
      </c>
      <c r="CA20" s="160"/>
      <c r="CB20" s="160"/>
      <c r="CC20" s="161"/>
      <c r="CD20" s="162"/>
      <c r="CE20" s="166"/>
      <c r="CF20" s="167"/>
      <c r="CG20" s="167"/>
      <c r="CH20" s="168"/>
      <c r="CI20" s="62"/>
      <c r="CJ20" s="61"/>
      <c r="CK20" s="155">
        <f>CK18+1</f>
        <v>40</v>
      </c>
      <c r="CL20" s="160"/>
      <c r="CM20" s="160"/>
      <c r="CN20" s="161"/>
      <c r="CO20" s="162"/>
      <c r="CP20" s="166"/>
      <c r="CQ20" s="167"/>
      <c r="CR20" s="167"/>
      <c r="CS20" s="168"/>
      <c r="CT20" s="62"/>
      <c r="CU20" s="61"/>
      <c r="CV20" s="179"/>
      <c r="CW20" s="175"/>
      <c r="CX20" s="176"/>
      <c r="CY20" s="177"/>
      <c r="CZ20" s="175"/>
      <c r="DA20" s="176"/>
      <c r="DB20" s="176"/>
      <c r="DC20" s="176"/>
      <c r="DD20" s="177"/>
      <c r="DE20" s="62"/>
      <c r="DF20" s="61"/>
      <c r="DG20" s="179"/>
      <c r="DH20" s="175"/>
      <c r="DI20" s="176"/>
      <c r="DJ20" s="177"/>
      <c r="DK20" s="175"/>
      <c r="DL20" s="176"/>
      <c r="DM20" s="176"/>
      <c r="DN20" s="176"/>
      <c r="DO20" s="177"/>
      <c r="DP20" s="62"/>
      <c r="DQ20" s="61"/>
      <c r="DR20" s="179"/>
      <c r="DS20" s="175"/>
      <c r="DT20" s="176"/>
      <c r="DU20" s="177"/>
      <c r="DV20" s="175"/>
      <c r="DW20" s="176"/>
      <c r="DX20" s="176"/>
      <c r="DY20" s="176"/>
      <c r="DZ20" s="177"/>
      <c r="EA20" s="62"/>
      <c r="EB20" s="61"/>
      <c r="EC20" s="179"/>
      <c r="ED20" s="175"/>
      <c r="EE20" s="176"/>
      <c r="EF20" s="177"/>
      <c r="EG20" s="175"/>
      <c r="EH20" s="176"/>
      <c r="EI20" s="176"/>
      <c r="EJ20" s="176"/>
      <c r="EK20" s="177"/>
      <c r="EL20" s="62"/>
      <c r="EM20" s="61"/>
      <c r="EN20" s="179"/>
      <c r="EO20" s="175"/>
      <c r="EP20" s="176"/>
      <c r="EQ20" s="177"/>
      <c r="ER20" s="175"/>
      <c r="ES20" s="176"/>
      <c r="ET20" s="176"/>
      <c r="EU20" s="176"/>
      <c r="EV20" s="177"/>
      <c r="EW20" s="62"/>
      <c r="EX20" s="62"/>
    </row>
    <row r="21" spans="1:154" ht="43.9" customHeight="1">
      <c r="A21" s="21"/>
      <c r="B21" s="23"/>
      <c r="C21" s="196" t="s">
        <v>266</v>
      </c>
      <c r="D21" s="195"/>
      <c r="E21" s="209" t="s">
        <v>272</v>
      </c>
      <c r="F21" s="209"/>
      <c r="G21" s="209"/>
      <c r="H21" s="209"/>
      <c r="I21" s="25"/>
      <c r="J21" s="22"/>
      <c r="K21" s="61"/>
      <c r="L21" s="57">
        <f t="shared" si="0"/>
        <v>16</v>
      </c>
      <c r="M21" s="143" t="str">
        <f>+'Obracun indikatora uspjesnosti'!D33</f>
        <v>Energy costs as a proportion of Direct Operating costs for wastewater operations</v>
      </c>
      <c r="N21" s="144"/>
      <c r="O21" s="46" t="str">
        <f>+'Obracun indikatora uspjesnosti'!F33</f>
        <v>%</v>
      </c>
      <c r="P21" s="146" t="s">
        <v>269</v>
      </c>
      <c r="Q21" s="147"/>
      <c r="R21" s="147"/>
      <c r="S21" s="148"/>
      <c r="T21" s="71">
        <f>+'Obracun indikatora uspjesnosti'!M33</f>
        <v>0</v>
      </c>
      <c r="U21" s="62"/>
      <c r="V21" s="61"/>
      <c r="W21" s="57">
        <f t="shared" si="1"/>
        <v>32</v>
      </c>
      <c r="X21" s="143" t="str">
        <f>+'Obracun indikatora uspjesnosti'!D65</f>
        <v>Current Collection Rate</v>
      </c>
      <c r="Y21" s="145"/>
      <c r="Z21" s="46" t="str">
        <f>+'Obracun indikatora uspjesnosti'!F65</f>
        <v>%</v>
      </c>
      <c r="AA21" s="71">
        <f>+'Obracun indikatora uspjesnosti'!I65</f>
        <v>1.3116264780615474</v>
      </c>
      <c r="AB21" s="71">
        <f>+'Obracun indikatora uspjesnosti'!J65</f>
        <v>1.0337639998785007</v>
      </c>
      <c r="AC21" s="71">
        <f>+'Obracun indikatora uspjesnosti'!K65</f>
        <v>0.82433903524241026</v>
      </c>
      <c r="AD21" s="71">
        <f>+'Obracun indikatora uspjesnosti'!L65</f>
        <v>1.247276555449738</v>
      </c>
      <c r="AE21" s="71">
        <f>+'Obracun indikatora uspjesnosti'!M65</f>
        <v>1.0572093483743477</v>
      </c>
      <c r="AF21" s="62"/>
      <c r="AG21" s="61"/>
      <c r="AH21" s="57">
        <f t="shared" si="2"/>
        <v>48</v>
      </c>
      <c r="AI21" s="143"/>
      <c r="AJ21" s="145"/>
      <c r="AK21" s="46"/>
      <c r="AL21" s="71"/>
      <c r="AM21" s="71"/>
      <c r="AN21" s="71"/>
      <c r="AO21" s="71"/>
      <c r="AP21" s="71"/>
      <c r="AQ21" s="62"/>
      <c r="AR21" s="61"/>
      <c r="AS21" s="156"/>
      <c r="AT21" s="154"/>
      <c r="AU21" s="163"/>
      <c r="AV21" s="164"/>
      <c r="AW21" s="165"/>
      <c r="AX21" s="169"/>
      <c r="AY21" s="170"/>
      <c r="AZ21" s="170"/>
      <c r="BA21" s="171"/>
      <c r="BB21" s="62"/>
      <c r="BC21" s="61"/>
      <c r="BD21" s="156"/>
      <c r="BE21" s="154"/>
      <c r="BF21" s="163"/>
      <c r="BG21" s="164"/>
      <c r="BH21" s="165"/>
      <c r="BI21" s="169"/>
      <c r="BJ21" s="170"/>
      <c r="BK21" s="170"/>
      <c r="BL21" s="171"/>
      <c r="BM21" s="62"/>
      <c r="BN21" s="61"/>
      <c r="BO21" s="156"/>
      <c r="BP21" s="163"/>
      <c r="BQ21" s="163"/>
      <c r="BR21" s="164"/>
      <c r="BS21" s="165"/>
      <c r="BT21" s="169"/>
      <c r="BU21" s="170"/>
      <c r="BV21" s="170"/>
      <c r="BW21" s="171"/>
      <c r="BX21" s="62"/>
      <c r="BY21" s="61"/>
      <c r="BZ21" s="156"/>
      <c r="CA21" s="163"/>
      <c r="CB21" s="163"/>
      <c r="CC21" s="164"/>
      <c r="CD21" s="165"/>
      <c r="CE21" s="169"/>
      <c r="CF21" s="170"/>
      <c r="CG21" s="170"/>
      <c r="CH21" s="171"/>
      <c r="CI21" s="62"/>
      <c r="CJ21" s="61"/>
      <c r="CK21" s="156"/>
      <c r="CL21" s="163"/>
      <c r="CM21" s="163"/>
      <c r="CN21" s="164"/>
      <c r="CO21" s="165"/>
      <c r="CP21" s="169"/>
      <c r="CQ21" s="170"/>
      <c r="CR21" s="170"/>
      <c r="CS21" s="171"/>
      <c r="CT21" s="62"/>
      <c r="CU21" s="61"/>
      <c r="CV21" s="63"/>
      <c r="CW21" s="63"/>
      <c r="CX21" s="63"/>
      <c r="CY21" s="63"/>
      <c r="CZ21" s="63"/>
      <c r="DA21" s="63"/>
      <c r="DB21" s="63"/>
      <c r="DC21" s="63"/>
      <c r="DD21" s="63"/>
      <c r="DE21" s="62"/>
      <c r="DF21" s="61"/>
      <c r="DG21" s="63"/>
      <c r="DH21" s="63"/>
      <c r="DI21" s="63"/>
      <c r="DJ21" s="63"/>
      <c r="DK21" s="63"/>
      <c r="DL21" s="63"/>
      <c r="DM21" s="63"/>
      <c r="DN21" s="63"/>
      <c r="DO21" s="63"/>
      <c r="DP21" s="62"/>
      <c r="DQ21" s="61"/>
      <c r="DR21" s="63"/>
      <c r="DS21" s="63"/>
      <c r="DT21" s="63"/>
      <c r="DU21" s="63"/>
      <c r="DV21" s="63"/>
      <c r="DW21" s="63"/>
      <c r="DX21" s="63"/>
      <c r="DY21" s="63"/>
      <c r="DZ21" s="63"/>
      <c r="EA21" s="62"/>
      <c r="EB21" s="61"/>
      <c r="EC21" s="63"/>
      <c r="ED21" s="63"/>
      <c r="EE21" s="63"/>
      <c r="EF21" s="63"/>
      <c r="EG21" s="63"/>
      <c r="EH21" s="63"/>
      <c r="EI21" s="63"/>
      <c r="EJ21" s="63"/>
      <c r="EK21" s="63"/>
      <c r="EL21" s="62"/>
      <c r="EM21" s="61"/>
      <c r="EN21" s="63"/>
      <c r="EO21" s="63"/>
      <c r="EP21" s="63"/>
      <c r="EQ21" s="63"/>
      <c r="ER21" s="63"/>
      <c r="ES21" s="63"/>
      <c r="ET21" s="63"/>
      <c r="EU21" s="63"/>
      <c r="EV21" s="63"/>
      <c r="EW21" s="62"/>
      <c r="EX21" s="62"/>
    </row>
    <row r="22" spans="1:154" ht="35.1" customHeight="1" thickBot="1">
      <c r="A22" s="26"/>
      <c r="B22" s="27"/>
      <c r="C22" s="208"/>
      <c r="D22" s="208"/>
      <c r="E22" s="102" t="s">
        <v>267</v>
      </c>
      <c r="F22" s="208"/>
      <c r="G22" s="208"/>
      <c r="H22" s="27"/>
      <c r="I22" s="27"/>
      <c r="J22" s="28"/>
      <c r="K22" s="65"/>
      <c r="L22" s="66"/>
      <c r="M22" s="66"/>
      <c r="N22" s="66"/>
      <c r="O22" s="66"/>
      <c r="P22" s="66"/>
      <c r="Q22" s="66"/>
      <c r="R22" s="66"/>
      <c r="S22" s="66"/>
      <c r="T22" s="66"/>
      <c r="U22" s="67"/>
      <c r="V22" s="65"/>
      <c r="W22" s="66"/>
      <c r="X22" s="66"/>
      <c r="Y22" s="66"/>
      <c r="Z22" s="66"/>
      <c r="AA22" s="66"/>
      <c r="AB22" s="66"/>
      <c r="AC22" s="66"/>
      <c r="AD22" s="66"/>
      <c r="AE22" s="66"/>
      <c r="AF22" s="67"/>
      <c r="AG22" s="65"/>
      <c r="AH22" s="66"/>
      <c r="AI22" s="66"/>
      <c r="AJ22" s="66"/>
      <c r="AK22" s="66"/>
      <c r="AL22" s="66"/>
      <c r="AM22" s="66"/>
      <c r="AN22" s="66"/>
      <c r="AO22" s="66"/>
      <c r="AP22" s="66"/>
      <c r="AQ22" s="67"/>
      <c r="AR22" s="65"/>
      <c r="AS22" s="66"/>
      <c r="AT22" s="66"/>
      <c r="AU22" s="66"/>
      <c r="AV22" s="66"/>
      <c r="AW22" s="66"/>
      <c r="AX22" s="66"/>
      <c r="AY22" s="66"/>
      <c r="AZ22" s="66"/>
      <c r="BA22" s="66"/>
      <c r="BB22" s="67"/>
      <c r="BC22" s="65"/>
      <c r="BD22" s="66"/>
      <c r="BE22" s="66"/>
      <c r="BF22" s="66"/>
      <c r="BG22" s="66"/>
      <c r="BH22" s="66"/>
      <c r="BI22" s="66"/>
      <c r="BJ22" s="66"/>
      <c r="BK22" s="66"/>
      <c r="BL22" s="66"/>
      <c r="BM22" s="67"/>
      <c r="BN22" s="65"/>
      <c r="BO22" s="66"/>
      <c r="BP22" s="66"/>
      <c r="BQ22" s="66"/>
      <c r="BR22" s="66"/>
      <c r="BS22" s="66"/>
      <c r="BT22" s="66"/>
      <c r="BU22" s="66"/>
      <c r="BV22" s="66"/>
      <c r="BW22" s="66"/>
      <c r="BX22" s="67"/>
      <c r="BY22" s="65"/>
      <c r="BZ22" s="66"/>
      <c r="CA22" s="66"/>
      <c r="CB22" s="66"/>
      <c r="CC22" s="66"/>
      <c r="CD22" s="66"/>
      <c r="CE22" s="66"/>
      <c r="CF22" s="66"/>
      <c r="CG22" s="66"/>
      <c r="CH22" s="66"/>
      <c r="CI22" s="67"/>
      <c r="CJ22" s="65"/>
      <c r="CK22" s="66"/>
      <c r="CL22" s="66"/>
      <c r="CM22" s="66"/>
      <c r="CN22" s="66"/>
      <c r="CO22" s="66"/>
      <c r="CP22" s="66"/>
      <c r="CQ22" s="66"/>
      <c r="CR22" s="66"/>
      <c r="CS22" s="66"/>
      <c r="CT22" s="67"/>
      <c r="CU22" s="65"/>
      <c r="CV22" s="66"/>
      <c r="CW22" s="66"/>
      <c r="CX22" s="66"/>
      <c r="CY22" s="66"/>
      <c r="CZ22" s="66"/>
      <c r="DA22" s="66"/>
      <c r="DB22" s="66"/>
      <c r="DC22" s="66"/>
      <c r="DD22" s="66"/>
      <c r="DE22" s="67"/>
      <c r="DF22" s="65"/>
      <c r="DG22" s="66"/>
      <c r="DH22" s="66"/>
      <c r="DI22" s="66"/>
      <c r="DJ22" s="66"/>
      <c r="DK22" s="66"/>
      <c r="DL22" s="66"/>
      <c r="DM22" s="66"/>
      <c r="DN22" s="66"/>
      <c r="DO22" s="66"/>
      <c r="DP22" s="67"/>
      <c r="DQ22" s="65"/>
      <c r="DR22" s="66"/>
      <c r="DS22" s="66"/>
      <c r="DT22" s="66"/>
      <c r="DU22" s="66"/>
      <c r="DV22" s="66"/>
      <c r="DW22" s="66"/>
      <c r="DX22" s="66"/>
      <c r="DY22" s="66"/>
      <c r="DZ22" s="66"/>
      <c r="EA22" s="67"/>
      <c r="EB22" s="65"/>
      <c r="EC22" s="66"/>
      <c r="ED22" s="66"/>
      <c r="EE22" s="66"/>
      <c r="EF22" s="66"/>
      <c r="EG22" s="66"/>
      <c r="EH22" s="66"/>
      <c r="EI22" s="66"/>
      <c r="EJ22" s="66"/>
      <c r="EK22" s="66"/>
      <c r="EL22" s="67"/>
      <c r="EM22" s="65"/>
      <c r="EN22" s="66"/>
      <c r="EO22" s="66"/>
      <c r="EP22" s="66"/>
      <c r="EQ22" s="66"/>
      <c r="ER22" s="66"/>
      <c r="ES22" s="66"/>
      <c r="ET22" s="66"/>
      <c r="EU22" s="66"/>
      <c r="EV22" s="66"/>
      <c r="EW22" s="67"/>
      <c r="EX22" s="67"/>
    </row>
    <row r="23" spans="1:154" s="29" customFormat="1"/>
    <row r="24" spans="1:154" s="29" customFormat="1"/>
    <row r="25" spans="1:154" s="29" customFormat="1"/>
    <row r="26" spans="1:154" s="29" customFormat="1"/>
    <row r="27" spans="1:154" s="29" customFormat="1">
      <c r="E27" s="31"/>
    </row>
    <row r="28" spans="1:154" s="29" customFormat="1">
      <c r="E28" s="31"/>
    </row>
    <row r="29" spans="1:154" s="29" customFormat="1">
      <c r="E29" s="31"/>
    </row>
    <row r="30" spans="1:154" s="29" customFormat="1">
      <c r="E30" s="31"/>
    </row>
    <row r="31" spans="1:154" s="29" customFormat="1"/>
    <row r="32" spans="1:154" s="29" customFormat="1"/>
    <row r="33" s="29" customFormat="1"/>
    <row r="34" s="29" customFormat="1"/>
    <row r="35" s="29" customFormat="1"/>
    <row r="36" s="29" customFormat="1"/>
    <row r="37" s="29" customFormat="1"/>
    <row r="38" s="29" customFormat="1"/>
    <row r="39" s="29" customFormat="1"/>
    <row r="40" s="29" customFormat="1"/>
    <row r="41" s="29" customFormat="1"/>
    <row r="42" s="29" customFormat="1"/>
    <row r="43" s="29" customFormat="1"/>
    <row r="44" s="29" customFormat="1"/>
    <row r="45" s="29" customFormat="1"/>
    <row r="46" s="29" customFormat="1"/>
    <row r="47" s="29" customFormat="1"/>
    <row r="48" s="29" customFormat="1"/>
    <row r="49" s="29" customFormat="1"/>
    <row r="50" s="29" customFormat="1"/>
    <row r="51" s="29" customFormat="1"/>
    <row r="52" s="29" customFormat="1"/>
    <row r="53" s="29" customFormat="1"/>
    <row r="54" s="29" customFormat="1"/>
    <row r="55" s="29" customFormat="1"/>
    <row r="56" s="29" customFormat="1"/>
    <row r="57" s="29" customFormat="1"/>
    <row r="58" s="29" customFormat="1"/>
    <row r="59" s="29" customFormat="1"/>
    <row r="60" s="29" customFormat="1"/>
    <row r="61" s="29" customFormat="1"/>
    <row r="62" s="29" customFormat="1"/>
    <row r="63" s="29" customFormat="1"/>
    <row r="64" s="29" customFormat="1"/>
    <row r="65" s="29" customFormat="1"/>
    <row r="66" s="29" customFormat="1"/>
    <row r="67" s="29" customFormat="1"/>
    <row r="68" s="29" customFormat="1"/>
    <row r="69" s="29" customFormat="1"/>
    <row r="70" s="29" customFormat="1"/>
    <row r="71" s="29" customFormat="1"/>
    <row r="72" s="29" customFormat="1"/>
    <row r="73" s="29" customFormat="1"/>
    <row r="74" s="29" customFormat="1"/>
    <row r="75" s="29" customFormat="1"/>
    <row r="76" s="29" customFormat="1"/>
    <row r="77" s="29" customFormat="1"/>
    <row r="78" s="29" customFormat="1"/>
  </sheetData>
  <mergeCells count="445">
    <mergeCell ref="ED19:EF20"/>
    <mergeCell ref="EG19:EK20"/>
    <mergeCell ref="DV19:DZ20"/>
    <mergeCell ref="EC19:EC20"/>
    <mergeCell ref="AI8:AJ8"/>
    <mergeCell ref="DS19:DU20"/>
    <mergeCell ref="E2:H2"/>
    <mergeCell ref="E3:H3"/>
    <mergeCell ref="E19:H19"/>
    <mergeCell ref="AI13:AJ13"/>
    <mergeCell ref="AI14:AJ14"/>
    <mergeCell ref="AI15:AJ15"/>
    <mergeCell ref="AI10:AJ10"/>
    <mergeCell ref="AI6:AJ6"/>
    <mergeCell ref="DR15:DR16"/>
    <mergeCell ref="DS15:DU16"/>
    <mergeCell ref="DV15:DZ16"/>
    <mergeCell ref="DV17:DZ18"/>
    <mergeCell ref="EC17:EC18"/>
    <mergeCell ref="DR17:DR18"/>
    <mergeCell ref="DS17:DU18"/>
    <mergeCell ref="EC15:EC16"/>
    <mergeCell ref="DR19:DR20"/>
    <mergeCell ref="ED17:EF18"/>
    <mergeCell ref="ER19:EV20"/>
    <mergeCell ref="EN5:EN6"/>
    <mergeCell ref="EO5:EQ6"/>
    <mergeCell ref="ER5:EV6"/>
    <mergeCell ref="EN7:EN8"/>
    <mergeCell ref="EO7:EQ8"/>
    <mergeCell ref="EN9:EN10"/>
    <mergeCell ref="EN17:EN18"/>
    <mergeCell ref="EO17:EQ18"/>
    <mergeCell ref="EN15:EN16"/>
    <mergeCell ref="EN19:EN20"/>
    <mergeCell ref="EO19:EQ20"/>
    <mergeCell ref="EG17:EK18"/>
    <mergeCell ref="EG15:EK16"/>
    <mergeCell ref="ED13:EF14"/>
    <mergeCell ref="EG13:EK14"/>
    <mergeCell ref="ED9:EF10"/>
    <mergeCell ref="ED15:EF16"/>
    <mergeCell ref="EN2:EV2"/>
    <mergeCell ref="EN3:EV3"/>
    <mergeCell ref="ER4:EV4"/>
    <mergeCell ref="EO9:EQ10"/>
    <mergeCell ref="ER9:EV10"/>
    <mergeCell ref="ER15:EV16"/>
    <mergeCell ref="EO15:EQ16"/>
    <mergeCell ref="EN11:EN12"/>
    <mergeCell ref="EN13:EN14"/>
    <mergeCell ref="EO13:EQ14"/>
    <mergeCell ref="ER17:EV18"/>
    <mergeCell ref="ER7:EV8"/>
    <mergeCell ref="EO11:EQ12"/>
    <mergeCell ref="ER11:EV12"/>
    <mergeCell ref="EG11:EK12"/>
    <mergeCell ref="EG9:EK10"/>
    <mergeCell ref="EC11:EC12"/>
    <mergeCell ref="EC7:EC8"/>
    <mergeCell ref="ED11:EF12"/>
    <mergeCell ref="ER13:EV14"/>
    <mergeCell ref="EG7:EK8"/>
    <mergeCell ref="DR2:DZ2"/>
    <mergeCell ref="EC2:EK2"/>
    <mergeCell ref="DR3:DZ3"/>
    <mergeCell ref="EC3:EK3"/>
    <mergeCell ref="DR7:DR8"/>
    <mergeCell ref="DS7:DU8"/>
    <mergeCell ref="DR5:DR6"/>
    <mergeCell ref="EC9:EC10"/>
    <mergeCell ref="EO4:EQ4"/>
    <mergeCell ref="ED5:EF6"/>
    <mergeCell ref="EG4:EK4"/>
    <mergeCell ref="ED7:EF8"/>
    <mergeCell ref="EG5:EK6"/>
    <mergeCell ref="DV4:DZ4"/>
    <mergeCell ref="ED4:EF4"/>
    <mergeCell ref="DS5:DU6"/>
    <mergeCell ref="DV5:DZ6"/>
    <mergeCell ref="EC5:EC6"/>
    <mergeCell ref="DS4:DU4"/>
    <mergeCell ref="DH19:DJ20"/>
    <mergeCell ref="DK9:DO10"/>
    <mergeCell ref="DH7:DJ8"/>
    <mergeCell ref="DK19:DO20"/>
    <mergeCell ref="DS11:DU12"/>
    <mergeCell ref="DR13:DR14"/>
    <mergeCell ref="DR9:DR10"/>
    <mergeCell ref="DS9:DU10"/>
    <mergeCell ref="DV9:DZ10"/>
    <mergeCell ref="DV7:DZ8"/>
    <mergeCell ref="DS13:DU14"/>
    <mergeCell ref="DV13:DZ14"/>
    <mergeCell ref="DV11:DZ12"/>
    <mergeCell ref="DR11:DR12"/>
    <mergeCell ref="DK15:DO16"/>
    <mergeCell ref="DK11:DO12"/>
    <mergeCell ref="DK17:DO18"/>
    <mergeCell ref="DK13:DO14"/>
    <mergeCell ref="DH17:DJ18"/>
    <mergeCell ref="EC13:EC14"/>
    <mergeCell ref="C22:D22"/>
    <mergeCell ref="E20:F20"/>
    <mergeCell ref="C21:D21"/>
    <mergeCell ref="DG19:DG20"/>
    <mergeCell ref="CA18:CA19"/>
    <mergeCell ref="F22:G22"/>
    <mergeCell ref="E21:H21"/>
    <mergeCell ref="CB18:CD19"/>
    <mergeCell ref="CE18:CH19"/>
    <mergeCell ref="CK20:CK21"/>
    <mergeCell ref="CK18:CK19"/>
    <mergeCell ref="CL18:CL19"/>
    <mergeCell ref="CM18:CO19"/>
    <mergeCell ref="CP18:CS19"/>
    <mergeCell ref="CL20:CL21"/>
    <mergeCell ref="CM20:CO21"/>
    <mergeCell ref="CP20:CS21"/>
    <mergeCell ref="P21:S21"/>
    <mergeCell ref="AI21:AJ21"/>
    <mergeCell ref="CM12:CO13"/>
    <mergeCell ref="CB20:CD21"/>
    <mergeCell ref="CE20:CH21"/>
    <mergeCell ref="AI17:AJ17"/>
    <mergeCell ref="CK2:CS2"/>
    <mergeCell ref="CK3:CS3"/>
    <mergeCell ref="CK4:CK5"/>
    <mergeCell ref="CL4:CL5"/>
    <mergeCell ref="CM4:CO5"/>
    <mergeCell ref="CP4:CS5"/>
    <mergeCell ref="CK6:CK7"/>
    <mergeCell ref="CL6:CL7"/>
    <mergeCell ref="CM6:CO7"/>
    <mergeCell ref="CP6:CS7"/>
    <mergeCell ref="BZ2:CH2"/>
    <mergeCell ref="BZ3:CH3"/>
    <mergeCell ref="BZ4:BZ5"/>
    <mergeCell ref="CA4:CA5"/>
    <mergeCell ref="CB4:CD5"/>
    <mergeCell ref="CE4:CH5"/>
    <mergeCell ref="BO20:BO21"/>
    <mergeCell ref="BP20:BP21"/>
    <mergeCell ref="BQ20:BS21"/>
    <mergeCell ref="BT20:BW21"/>
    <mergeCell ref="CA20:CA21"/>
    <mergeCell ref="BZ20:BZ21"/>
    <mergeCell ref="CB12:CD13"/>
    <mergeCell ref="CE12:CH13"/>
    <mergeCell ref="BZ8:BZ9"/>
    <mergeCell ref="CA8:CA9"/>
    <mergeCell ref="CB8:CD9"/>
    <mergeCell ref="CE8:CH9"/>
    <mergeCell ref="CB10:CD11"/>
    <mergeCell ref="CB16:CD17"/>
    <mergeCell ref="CE16:CH17"/>
    <mergeCell ref="CB14:CD15"/>
    <mergeCell ref="CE14:CH15"/>
    <mergeCell ref="BQ8:BS9"/>
    <mergeCell ref="AH2:AP2"/>
    <mergeCell ref="AH3:AP3"/>
    <mergeCell ref="AH4:AH5"/>
    <mergeCell ref="AI4:AJ5"/>
    <mergeCell ref="AK4:AK5"/>
    <mergeCell ref="AL4:AO4"/>
    <mergeCell ref="AP4:AP5"/>
    <mergeCell ref="AI11:AJ11"/>
    <mergeCell ref="AA13:AD13"/>
    <mergeCell ref="AI7:AJ7"/>
    <mergeCell ref="BO2:BW2"/>
    <mergeCell ref="BO3:BW3"/>
    <mergeCell ref="BO4:BO5"/>
    <mergeCell ref="BP4:BP5"/>
    <mergeCell ref="BQ4:BS5"/>
    <mergeCell ref="AI18:AJ18"/>
    <mergeCell ref="M21:N21"/>
    <mergeCell ref="AT16:AT17"/>
    <mergeCell ref="AS18:AS19"/>
    <mergeCell ref="M20:N20"/>
    <mergeCell ref="M18:N18"/>
    <mergeCell ref="M19:N19"/>
    <mergeCell ref="AA17:AD17"/>
    <mergeCell ref="X19:Y19"/>
    <mergeCell ref="X18:Y18"/>
    <mergeCell ref="AA16:AD16"/>
    <mergeCell ref="P19:S19"/>
    <mergeCell ref="P20:S20"/>
    <mergeCell ref="P16:S16"/>
    <mergeCell ref="P17:S17"/>
    <mergeCell ref="P18:S18"/>
    <mergeCell ref="M16:N16"/>
    <mergeCell ref="M17:N17"/>
    <mergeCell ref="X16:Y16"/>
    <mergeCell ref="X20:Y20"/>
    <mergeCell ref="X21:Y21"/>
    <mergeCell ref="AI19:AJ19"/>
    <mergeCell ref="AI20:AJ20"/>
    <mergeCell ref="AT18:AT19"/>
    <mergeCell ref="CV2:DD2"/>
    <mergeCell ref="CV3:DD3"/>
    <mergeCell ref="AS14:AS15"/>
    <mergeCell ref="AS16:AS17"/>
    <mergeCell ref="AX8:BA9"/>
    <mergeCell ref="AX10:BA11"/>
    <mergeCell ref="AT10:AT11"/>
    <mergeCell ref="AS4:AS5"/>
    <mergeCell ref="BI8:BL9"/>
    <mergeCell ref="BD3:BL3"/>
    <mergeCell ref="CA10:CA11"/>
    <mergeCell ref="BZ14:BZ15"/>
    <mergeCell ref="CA14:CA15"/>
    <mergeCell ref="BZ12:BZ13"/>
    <mergeCell ref="CA12:CA13"/>
    <mergeCell ref="AU10:AW11"/>
    <mergeCell ref="BO14:BO15"/>
    <mergeCell ref="CE6:CH7"/>
    <mergeCell ref="CB6:CD7"/>
    <mergeCell ref="C13:I13"/>
    <mergeCell ref="C11:I11"/>
    <mergeCell ref="X10:Y10"/>
    <mergeCell ref="M10:N10"/>
    <mergeCell ref="M11:N11"/>
    <mergeCell ref="X15:Y15"/>
    <mergeCell ref="E9:I9"/>
    <mergeCell ref="AX20:BA21"/>
    <mergeCell ref="AX14:BA15"/>
    <mergeCell ref="AX16:BA17"/>
    <mergeCell ref="AX12:BA13"/>
    <mergeCell ref="AX18:BA19"/>
    <mergeCell ref="M13:N13"/>
    <mergeCell ref="AU12:AW13"/>
    <mergeCell ref="AS12:AS13"/>
    <mergeCell ref="AT12:AT13"/>
    <mergeCell ref="AU16:AW17"/>
    <mergeCell ref="X14:Y14"/>
    <mergeCell ref="AS20:AS21"/>
    <mergeCell ref="AU18:AW19"/>
    <mergeCell ref="AT20:AT21"/>
    <mergeCell ref="X17:Y17"/>
    <mergeCell ref="AI16:AJ16"/>
    <mergeCell ref="AU20:AW21"/>
    <mergeCell ref="X7:Y7"/>
    <mergeCell ref="X8:Y8"/>
    <mergeCell ref="X13:Y13"/>
    <mergeCell ref="X9:Y9"/>
    <mergeCell ref="X11:Y11"/>
    <mergeCell ref="AA10:AD10"/>
    <mergeCell ref="AA8:AD8"/>
    <mergeCell ref="AA9:AD9"/>
    <mergeCell ref="AA15:AD15"/>
    <mergeCell ref="AA14:AD14"/>
    <mergeCell ref="BD2:BL2"/>
    <mergeCell ref="BD4:BD5"/>
    <mergeCell ref="BE4:BE5"/>
    <mergeCell ref="BF4:BH5"/>
    <mergeCell ref="BI4:BL5"/>
    <mergeCell ref="BE8:BE9"/>
    <mergeCell ref="BE6:BE7"/>
    <mergeCell ref="BF6:BH7"/>
    <mergeCell ref="BF16:BH17"/>
    <mergeCell ref="BI6:BL7"/>
    <mergeCell ref="L2:T2"/>
    <mergeCell ref="L4:L5"/>
    <mergeCell ref="BF10:BH11"/>
    <mergeCell ref="BI10:BL11"/>
    <mergeCell ref="L3:T3"/>
    <mergeCell ref="AX4:BA5"/>
    <mergeCell ref="AS2:BA2"/>
    <mergeCell ref="BD10:BD11"/>
    <mergeCell ref="BE10:BE11"/>
    <mergeCell ref="BF8:BH9"/>
    <mergeCell ref="AS6:AS7"/>
    <mergeCell ref="AS8:AS9"/>
    <mergeCell ref="AS10:AS11"/>
    <mergeCell ref="AT8:AT9"/>
    <mergeCell ref="AT4:AT5"/>
    <mergeCell ref="AS3:BA3"/>
    <mergeCell ref="AU4:AW5"/>
    <mergeCell ref="W2:AE2"/>
    <mergeCell ref="W3:AE3"/>
    <mergeCell ref="W4:W5"/>
    <mergeCell ref="X4:Y5"/>
    <mergeCell ref="Z4:Z5"/>
    <mergeCell ref="AA4:AD4"/>
    <mergeCell ref="AE4:AE5"/>
    <mergeCell ref="CZ4:DD4"/>
    <mergeCell ref="CW5:CY6"/>
    <mergeCell ref="CZ5:DD6"/>
    <mergeCell ref="BZ6:BZ7"/>
    <mergeCell ref="CA6:CA7"/>
    <mergeCell ref="CE10:CH11"/>
    <mergeCell ref="CW4:CY4"/>
    <mergeCell ref="CV5:CV6"/>
    <mergeCell ref="CV7:CV8"/>
    <mergeCell ref="CV9:CV10"/>
    <mergeCell ref="CK8:CK9"/>
    <mergeCell ref="CL8:CL9"/>
    <mergeCell ref="CM8:CO9"/>
    <mergeCell ref="CP8:CS9"/>
    <mergeCell ref="CL10:CL11"/>
    <mergeCell ref="CM10:CO11"/>
    <mergeCell ref="CP10:CS11"/>
    <mergeCell ref="BP6:BP7"/>
    <mergeCell ref="BQ6:BS7"/>
    <mergeCell ref="BT6:BW7"/>
    <mergeCell ref="BT18:BW19"/>
    <mergeCell ref="BE12:BE13"/>
    <mergeCell ref="BF12:BH13"/>
    <mergeCell ref="BI12:BL13"/>
    <mergeCell ref="CV19:CV20"/>
    <mergeCell ref="C18:D18"/>
    <mergeCell ref="E17:H17"/>
    <mergeCell ref="C17:D17"/>
    <mergeCell ref="E18:I18"/>
    <mergeCell ref="BT16:BW17"/>
    <mergeCell ref="C16:D16"/>
    <mergeCell ref="E16:I16"/>
    <mergeCell ref="BI20:BL21"/>
    <mergeCell ref="BD20:BD21"/>
    <mergeCell ref="BE20:BE21"/>
    <mergeCell ref="BF20:BH21"/>
    <mergeCell ref="BD18:BD19"/>
    <mergeCell ref="BF18:BH19"/>
    <mergeCell ref="C15:D15"/>
    <mergeCell ref="AA7:AD7"/>
    <mergeCell ref="AA12:AD12"/>
    <mergeCell ref="CW19:CY20"/>
    <mergeCell ref="CZ19:DD20"/>
    <mergeCell ref="CZ15:DD16"/>
    <mergeCell ref="CV17:CV18"/>
    <mergeCell ref="CW17:CY18"/>
    <mergeCell ref="BO8:BO9"/>
    <mergeCell ref="BO16:BO17"/>
    <mergeCell ref="BP10:BP11"/>
    <mergeCell ref="BQ12:BS13"/>
    <mergeCell ref="BP16:BP17"/>
    <mergeCell ref="BP8:BP9"/>
    <mergeCell ref="BQ16:BS17"/>
    <mergeCell ref="CK12:CK13"/>
    <mergeCell ref="CK16:CK17"/>
    <mergeCell ref="CM16:CO17"/>
    <mergeCell ref="CP16:CS17"/>
    <mergeCell ref="CZ13:DD14"/>
    <mergeCell ref="BZ18:BZ19"/>
    <mergeCell ref="BZ16:BZ17"/>
    <mergeCell ref="CA16:CA17"/>
    <mergeCell ref="BO18:BO19"/>
    <mergeCell ref="BP18:BP19"/>
    <mergeCell ref="BQ18:BS19"/>
    <mergeCell ref="DG2:DO2"/>
    <mergeCell ref="DG3:DO3"/>
    <mergeCell ref="DH4:DJ4"/>
    <mergeCell ref="DK4:DO4"/>
    <mergeCell ref="AI9:AJ9"/>
    <mergeCell ref="AI12:AJ12"/>
    <mergeCell ref="CV11:CV12"/>
    <mergeCell ref="BD12:BD13"/>
    <mergeCell ref="AU8:AW9"/>
    <mergeCell ref="BQ10:BS11"/>
    <mergeCell ref="CV13:CV14"/>
    <mergeCell ref="BZ10:BZ11"/>
    <mergeCell ref="BQ14:BS15"/>
    <mergeCell ref="CK10:CK11"/>
    <mergeCell ref="BF14:BH15"/>
    <mergeCell ref="BI14:BL15"/>
    <mergeCell ref="BP14:BP15"/>
    <mergeCell ref="DK5:DO6"/>
    <mergeCell ref="CZ11:DD12"/>
    <mergeCell ref="DK7:DO8"/>
    <mergeCell ref="CZ7:DD8"/>
    <mergeCell ref="CZ9:DD10"/>
    <mergeCell ref="CW15:CY16"/>
    <mergeCell ref="AT6:AT7"/>
    <mergeCell ref="E4:H4"/>
    <mergeCell ref="E8:H8"/>
    <mergeCell ref="E15:H15"/>
    <mergeCell ref="DG13:DG14"/>
    <mergeCell ref="C12:I12"/>
    <mergeCell ref="CZ17:DD18"/>
    <mergeCell ref="BT10:BW11"/>
    <mergeCell ref="CW11:CY12"/>
    <mergeCell ref="CW7:CY8"/>
    <mergeCell ref="CW9:CY10"/>
    <mergeCell ref="BT12:BW13"/>
    <mergeCell ref="CW13:CY14"/>
    <mergeCell ref="DG15:DG16"/>
    <mergeCell ref="C4:D4"/>
    <mergeCell ref="C8:D8"/>
    <mergeCell ref="C10:D10"/>
    <mergeCell ref="DG17:DG18"/>
    <mergeCell ref="DG5:DG6"/>
    <mergeCell ref="BT8:BW9"/>
    <mergeCell ref="BO10:BO11"/>
    <mergeCell ref="C6:D6"/>
    <mergeCell ref="BI18:BL19"/>
    <mergeCell ref="BI16:BL17"/>
    <mergeCell ref="BE18:BE19"/>
    <mergeCell ref="DH5:DJ6"/>
    <mergeCell ref="DH15:DJ16"/>
    <mergeCell ref="DG7:DG8"/>
    <mergeCell ref="DG11:DG12"/>
    <mergeCell ref="DH11:DJ12"/>
    <mergeCell ref="BD16:BD17"/>
    <mergeCell ref="BD6:BD7"/>
    <mergeCell ref="DH13:DJ14"/>
    <mergeCell ref="DH9:DJ10"/>
    <mergeCell ref="BT4:BW5"/>
    <mergeCell ref="CL12:CL13"/>
    <mergeCell ref="CL16:CL17"/>
    <mergeCell ref="CP12:CS13"/>
    <mergeCell ref="CK14:CK15"/>
    <mergeCell ref="CL14:CL15"/>
    <mergeCell ref="CM14:CO15"/>
    <mergeCell ref="CP14:CS15"/>
    <mergeCell ref="DG9:DG10"/>
    <mergeCell ref="CV15:CV16"/>
    <mergeCell ref="BT14:BW15"/>
    <mergeCell ref="BO12:BO13"/>
    <mergeCell ref="BP12:BP13"/>
    <mergeCell ref="BE16:BE17"/>
    <mergeCell ref="BO6:BO7"/>
    <mergeCell ref="P4:S4"/>
    <mergeCell ref="M12:N12"/>
    <mergeCell ref="M8:N8"/>
    <mergeCell ref="M9:N9"/>
    <mergeCell ref="P6:S6"/>
    <mergeCell ref="P7:S7"/>
    <mergeCell ref="M4:N5"/>
    <mergeCell ref="M6:N6"/>
    <mergeCell ref="BE14:BE15"/>
    <mergeCell ref="BD14:BD15"/>
    <mergeCell ref="BD8:BD9"/>
    <mergeCell ref="M7:N7"/>
    <mergeCell ref="O4:O5"/>
    <mergeCell ref="AA6:AD6"/>
    <mergeCell ref="P15:S15"/>
    <mergeCell ref="X12:Y12"/>
    <mergeCell ref="M15:N15"/>
    <mergeCell ref="M14:N14"/>
    <mergeCell ref="T4:T5"/>
    <mergeCell ref="X6:Y6"/>
    <mergeCell ref="AT14:AT15"/>
    <mergeCell ref="AU14:AW15"/>
    <mergeCell ref="AU6:AW7"/>
    <mergeCell ref="AX6:BA7"/>
  </mergeCells>
  <phoneticPr fontId="0" type="noConversion"/>
  <printOptions horizontalCentered="1" verticalCentered="1"/>
  <pageMargins left="0.27559055118110237" right="0.23622047244094491" top="0.51181102362204722" bottom="0.39370078740157483" header="0.11811023622047245" footer="0.11811023622047245"/>
  <pageSetup paperSize="9" scale="90" orientation="portrait" r:id="rId1"/>
  <headerFooter alignWithMargins="0">
    <oddHeader>&amp;C
Performance Measurement of water supply and wastewater related services in Capljina</oddHeader>
    <oddFooter xml:space="preserve">&amp;C&amp;8Page &amp;P of &amp;N&amp;R&amp;8
</oddFooter>
  </headerFooter>
  <colBreaks count="4" manualBreakCount="4">
    <brk id="10" max="1048575" man="1"/>
    <brk id="43" max="1048575" man="1"/>
    <brk id="54" max="21" man="1"/>
    <brk id="9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input data</vt:lpstr>
      <vt:lpstr>Obracun indikatora uspjesnosti</vt:lpstr>
      <vt:lpstr>progress report</vt:lpstr>
      <vt:lpstr>'Obracun indikatora uspjesnosti'!Print_Area</vt:lpstr>
      <vt:lpstr>'progress report'!Print_Area</vt:lpstr>
      <vt:lpstr>'input data'!Print_Titles</vt:lpstr>
    </vt:vector>
  </TitlesOfParts>
  <Company>Sachsen Wasser GmbH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Measurement Danilovgrad</dc:title>
  <dc:subject>Measurement of Performance Indicators</dc:subject>
  <dc:creator>Jens Liebelt</dc:creator>
  <cp:lastModifiedBy>Martina</cp:lastModifiedBy>
  <cp:lastPrinted>2013-05-30T08:20:46Z</cp:lastPrinted>
  <dcterms:created xsi:type="dcterms:W3CDTF">1996-10-17T05:27:31Z</dcterms:created>
  <dcterms:modified xsi:type="dcterms:W3CDTF">2014-03-28T10:56:55Z</dcterms:modified>
</cp:coreProperties>
</file>